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victo\OneDrive\LTT_Projetos\426-TC MS_Três Lagoas (Houer)\Produzidos\7-Planilhas Tarifárias\"/>
    </mc:Choice>
  </mc:AlternateContent>
  <xr:revisionPtr revIDLastSave="0" documentId="13_ncr:1_{B5888981-E00D-4077-A673-0D1D21C93218}" xr6:coauthVersionLast="47" xr6:coauthVersionMax="47" xr10:uidLastSave="{00000000-0000-0000-0000-000000000000}"/>
  <workbookProtection workbookAlgorithmName="SHA-512" workbookHashValue="b4zW2c9/i5OKn96mD4FWS25O1g87bQIn+Ch8ZEvW/e+ZSSjXbSEnC8OxQq3LFcgIqLFiRvpAkFSsHpHhyo3eFw==" workbookSaltValue="oEm2JJRRubgSpl2epXgoEw==" workbookSpinCount="100000" lockStructure="1"/>
  <bookViews>
    <workbookView xWindow="-120" yWindow="-120" windowWidth="20730" windowHeight="11160" xr2:uid="{00000000-000D-0000-FFFF-FFFF00000000}"/>
  </bookViews>
  <sheets>
    <sheet name="Ent_Geral" sheetId="66" r:id="rId1"/>
    <sheet name="Ent_Plano Renovação Frota" sheetId="72" r:id="rId2"/>
    <sheet name="Resultados_Tarifa e TIR" sheetId="73" r:id="rId3"/>
    <sheet name="Resultados_Composição CT" sheetId="40" r:id="rId4"/>
    <sheet name="Resultados_FluxoCaixa" sheetId="76" r:id="rId5"/>
    <sheet name="FC_Premissas" sheetId="74" r:id="rId6"/>
    <sheet name="FC_DRE" sheetId="75" r:id="rId7"/>
    <sheet name="FC_Depreciação" sheetId="77" r:id="rId8"/>
    <sheet name="FC_CAPEX" sheetId="78" r:id="rId9"/>
    <sheet name="FC_Payback" sheetId="79" r:id="rId10"/>
    <sheet name="FC_WACC" sheetId="80" r:id="rId11"/>
    <sheet name="ANTP_1.1. Passageiros" sheetId="1" r:id="rId12"/>
    <sheet name="ANTP_1.2. KM programada" sheetId="2" r:id="rId13"/>
    <sheet name="ANTP_1.3 Frota Total" sheetId="3" r:id="rId14"/>
    <sheet name="ANTP_1.4 Indicadores" sheetId="4" r:id="rId15"/>
    <sheet name="ANTP_2.1.a Combustível" sheetId="10" r:id="rId16"/>
    <sheet name="ANTP_2.1.b Veículos" sheetId="12" r:id="rId17"/>
    <sheet name="ANTP_2.1.c Insumos" sheetId="5" r:id="rId18"/>
    <sheet name="ANTP_2 Custos (resumo)" sheetId="71" r:id="rId19"/>
    <sheet name="ANTP_Resumo" sheetId="46" r:id="rId20"/>
    <sheet name="ANTP_2.1. Custo Variável" sheetId="13" r:id="rId21"/>
    <sheet name="ANTP_2.2 Custo Fixo" sheetId="14" r:id="rId22"/>
    <sheet name="ANTP_2.3 RPS" sheetId="20" r:id="rId23"/>
    <sheet name="ANTP_4. Custo Total" sheetId="21" r:id="rId24"/>
    <sheet name="ANTP_4.1. Custo Pass. Transp." sheetId="25" r:id="rId25"/>
    <sheet name="ANTP_4.2. Tarifa Técnica" sheetId="44" r:id="rId26"/>
    <sheet name="Ref_A.III. Combustível" sheetId="45" r:id="rId27"/>
    <sheet name="Ref_A.IV. Lub." sheetId="27" r:id="rId28"/>
    <sheet name="Ref_A.V. Arla32" sheetId="23" r:id="rId29"/>
    <sheet name="Ref_A.VI. Rodagem" sheetId="11" r:id="rId30"/>
    <sheet name="Ref_A.VII. Peças e acessórios " sheetId="24" r:id="rId31"/>
    <sheet name="Ref_A.VIII. Custos ambientais" sheetId="26" r:id="rId32"/>
    <sheet name="Ref_A.IX.a. Deprec. veículos" sheetId="16" r:id="rId33"/>
    <sheet name="Ref_A.IX.b. Deprec garag equip" sheetId="17" r:id="rId34"/>
    <sheet name="Ref_A.X.a. Remun. veículos " sheetId="18" r:id="rId35"/>
    <sheet name="Ref_A.X.b.  Remun garagem equip" sheetId="30" r:id="rId36"/>
    <sheet name="Ref_A.X.c. Remun Eq Bilhet ITS" sheetId="19" r:id="rId37"/>
    <sheet name="Ref_A.X.d. Remun. Vec. Apoio" sheetId="31" r:id="rId38"/>
    <sheet name="Ref_A.X. Remun. Infra" sheetId="32" state="hidden" r:id="rId39"/>
    <sheet name="Ref_A.X.e. Remun. Infraes" sheetId="36" r:id="rId40"/>
    <sheet name="Ref_A.XII. FU" sheetId="28" state="hidden" r:id="rId41"/>
    <sheet name="Ref_A.XIII. DMA" sheetId="29" state="hidden" r:id="rId42"/>
    <sheet name="Ref_A.XV. RPS (Simplificado)" sheetId="37" r:id="rId43"/>
    <sheet name="Ref_A.XV. RPS (DetalhadoI)" sheetId="38" state="hidden" r:id="rId44"/>
    <sheet name="Ref_A.XV. RPS (DetalhadoII)" sheetId="39" state="hidden" r:id="rId45"/>
    <sheet name="A.XV. RPS (Base Num)" sheetId="41" state="hidden" r:id="rId46"/>
    <sheet name="Ref_A.XVI. Despesas Gerais" sheetId="43" state="hidden" r:id="rId47"/>
  </sheets>
  <externalReferences>
    <externalReference r:id="rId48"/>
    <externalReference r:id="rId49"/>
    <externalReference r:id="rId50"/>
    <externalReference r:id="rId51"/>
    <externalReference r:id="rId52"/>
    <externalReference r:id="rId53"/>
    <externalReference r:id="rId54"/>
  </externalReferences>
  <definedNames>
    <definedName name="_______________ICM2002" localSheetId="10" hidden="1">{#N/A,#N/A,TRUE,"ICMAN96 (1)"}</definedName>
    <definedName name="_______________ICM2002" hidden="1">{#N/A,#N/A,TRUE,"ICMAN96 (1)"}</definedName>
    <definedName name="_______________ICM97" localSheetId="10" hidden="1">{#N/A,#N/A,TRUE,"ICMAN96 (1)"}</definedName>
    <definedName name="_______________ICM97" hidden="1">{#N/A,#N/A,TRUE,"ICMAN96 (1)"}</definedName>
    <definedName name="______________ICM2000" localSheetId="10" hidden="1">{#N/A,#N/A,TRUE,"ICMAN96 (1)"}</definedName>
    <definedName name="______________ICM2000" hidden="1">{#N/A,#N/A,TRUE,"ICMAN96 (1)"}</definedName>
    <definedName name="______________ICM2001" localSheetId="10" hidden="1">{#N/A,#N/A,TRUE,"ICMAN96 (1)"}</definedName>
    <definedName name="______________ICM2001" hidden="1">{#N/A,#N/A,TRUE,"ICMAN96 (1)"}</definedName>
    <definedName name="______________ICM2002" localSheetId="10" hidden="1">{#N/A,#N/A,TRUE,"ICMAN96 (1)"}</definedName>
    <definedName name="______________ICM2002" hidden="1">{#N/A,#N/A,TRUE,"ICMAN96 (1)"}</definedName>
    <definedName name="______________ICM97" localSheetId="10" hidden="1">{#N/A,#N/A,TRUE,"ICMAN96 (1)"}</definedName>
    <definedName name="______________ICM97" hidden="1">{#N/A,#N/A,TRUE,"ICMAN96 (1)"}</definedName>
    <definedName name="_____________ICM2000" localSheetId="10" hidden="1">{#N/A,#N/A,TRUE,"ICMAN96 (1)"}</definedName>
    <definedName name="_____________ICM2000" hidden="1">{#N/A,#N/A,TRUE,"ICMAN96 (1)"}</definedName>
    <definedName name="_____________ICM2001" localSheetId="10" hidden="1">{#N/A,#N/A,TRUE,"ICMAN96 (1)"}</definedName>
    <definedName name="_____________ICM2001" hidden="1">{#N/A,#N/A,TRUE,"ICMAN96 (1)"}</definedName>
    <definedName name="_____________ICM2002" localSheetId="10" hidden="1">{#N/A,#N/A,TRUE,"ICMAN96 (1)"}</definedName>
    <definedName name="_____________ICM2002" hidden="1">{#N/A,#N/A,TRUE,"ICMAN96 (1)"}</definedName>
    <definedName name="_____________ICM97" localSheetId="10" hidden="1">{#N/A,#N/A,TRUE,"ICMAN96 (1)"}</definedName>
    <definedName name="_____________ICM97" hidden="1">{#N/A,#N/A,TRUE,"ICMAN96 (1)"}</definedName>
    <definedName name="____________ICM2000" localSheetId="10" hidden="1">{#N/A,#N/A,TRUE,"ICMAN96 (1)"}</definedName>
    <definedName name="____________ICM2000" hidden="1">{#N/A,#N/A,TRUE,"ICMAN96 (1)"}</definedName>
    <definedName name="____________ICM2001" localSheetId="10" hidden="1">{#N/A,#N/A,TRUE,"ICMAN96 (1)"}</definedName>
    <definedName name="____________ICM2001" hidden="1">{#N/A,#N/A,TRUE,"ICMAN96 (1)"}</definedName>
    <definedName name="____________ICM2002" localSheetId="10" hidden="1">{#N/A,#N/A,TRUE,"ICMAN96 (1)"}</definedName>
    <definedName name="____________ICM2002" hidden="1">{#N/A,#N/A,TRUE,"ICMAN96 (1)"}</definedName>
    <definedName name="____________ICM97" localSheetId="10" hidden="1">{#N/A,#N/A,TRUE,"ICMAN96 (1)"}</definedName>
    <definedName name="____________ICM97" hidden="1">{#N/A,#N/A,TRUE,"ICMAN96 (1)"}</definedName>
    <definedName name="___________ICM2000" localSheetId="10" hidden="1">{#N/A,#N/A,TRUE,"ICMAN96 (1)"}</definedName>
    <definedName name="___________ICM2000" hidden="1">{#N/A,#N/A,TRUE,"ICMAN96 (1)"}</definedName>
    <definedName name="___________ICM2001" localSheetId="10" hidden="1">{#N/A,#N/A,TRUE,"ICMAN96 (1)"}</definedName>
    <definedName name="___________ICM2001" hidden="1">{#N/A,#N/A,TRUE,"ICMAN96 (1)"}</definedName>
    <definedName name="___________ICM2002" localSheetId="10" hidden="1">{#N/A,#N/A,TRUE,"ICMAN96 (1)"}</definedName>
    <definedName name="___________ICM2002" hidden="1">{#N/A,#N/A,TRUE,"ICMAN96 (1)"}</definedName>
    <definedName name="___________ICM97" localSheetId="10" hidden="1">{#N/A,#N/A,TRUE,"ICMAN96 (1)"}</definedName>
    <definedName name="___________ICM97" hidden="1">{#N/A,#N/A,TRUE,"ICMAN96 (1)"}</definedName>
    <definedName name="__________ICM2000" localSheetId="10" hidden="1">{#N/A,#N/A,TRUE,"ICMAN96 (1)"}</definedName>
    <definedName name="__________ICM2000" hidden="1">{#N/A,#N/A,TRUE,"ICMAN96 (1)"}</definedName>
    <definedName name="__________ICM2001" localSheetId="10" hidden="1">{#N/A,#N/A,TRUE,"ICMAN96 (1)"}</definedName>
    <definedName name="__________ICM2001" hidden="1">{#N/A,#N/A,TRUE,"ICMAN96 (1)"}</definedName>
    <definedName name="__________ICM2002" localSheetId="10" hidden="1">{#N/A,#N/A,TRUE,"ICMAN96 (1)"}</definedName>
    <definedName name="__________ICM2002" hidden="1">{#N/A,#N/A,TRUE,"ICMAN96 (1)"}</definedName>
    <definedName name="__________ICM97" localSheetId="10" hidden="1">{#N/A,#N/A,TRUE,"ICMAN96 (1)"}</definedName>
    <definedName name="__________ICM97" hidden="1">{#N/A,#N/A,TRUE,"ICMAN96 (1)"}</definedName>
    <definedName name="_________ICM2000" localSheetId="10" hidden="1">{#N/A,#N/A,TRUE,"ICMAN96 (1)"}</definedName>
    <definedName name="_________ICM2000" hidden="1">{#N/A,#N/A,TRUE,"ICMAN96 (1)"}</definedName>
    <definedName name="_________ICM2001" localSheetId="10" hidden="1">{#N/A,#N/A,TRUE,"ICMAN96 (1)"}</definedName>
    <definedName name="_________ICM2001" hidden="1">{#N/A,#N/A,TRUE,"ICMAN96 (1)"}</definedName>
    <definedName name="_________ICM2002" localSheetId="10" hidden="1">{#N/A,#N/A,TRUE,"ICMAN96 (1)"}</definedName>
    <definedName name="_________ICM2002" hidden="1">{#N/A,#N/A,TRUE,"ICMAN96 (1)"}</definedName>
    <definedName name="_________ICM97" localSheetId="10" hidden="1">{#N/A,#N/A,TRUE,"ICMAN96 (1)"}</definedName>
    <definedName name="_________ICM97" hidden="1">{#N/A,#N/A,TRUE,"ICMAN96 (1)"}</definedName>
    <definedName name="________ICM2000" localSheetId="10" hidden="1">{#N/A,#N/A,TRUE,"ICMAN96 (1)"}</definedName>
    <definedName name="________ICM2000" hidden="1">{#N/A,#N/A,TRUE,"ICMAN96 (1)"}</definedName>
    <definedName name="________ICM2001" localSheetId="10" hidden="1">{#N/A,#N/A,TRUE,"ICMAN96 (1)"}</definedName>
    <definedName name="________ICM2001" hidden="1">{#N/A,#N/A,TRUE,"ICMAN96 (1)"}</definedName>
    <definedName name="________ICM2002" localSheetId="10" hidden="1">{#N/A,#N/A,TRUE,"ICMAN96 (1)"}</definedName>
    <definedName name="________ICM2002" hidden="1">{#N/A,#N/A,TRUE,"ICMAN96 (1)"}</definedName>
    <definedName name="________ICM97" localSheetId="10" hidden="1">{#N/A,#N/A,TRUE,"ICMAN96 (1)"}</definedName>
    <definedName name="________ICM97" hidden="1">{#N/A,#N/A,TRUE,"ICMAN96 (1)"}</definedName>
    <definedName name="_______ICM2000" localSheetId="10" hidden="1">{#N/A,#N/A,TRUE,"ICMAN96 (1)"}</definedName>
    <definedName name="_______ICM2000" hidden="1">{#N/A,#N/A,TRUE,"ICMAN96 (1)"}</definedName>
    <definedName name="_______ICM2001" localSheetId="10" hidden="1">{#N/A,#N/A,TRUE,"ICMAN96 (1)"}</definedName>
    <definedName name="_______ICM2001" hidden="1">{#N/A,#N/A,TRUE,"ICMAN96 (1)"}</definedName>
    <definedName name="_______ICM2002" localSheetId="10" hidden="1">{#N/A,#N/A,TRUE,"ICMAN96 (1)"}</definedName>
    <definedName name="_______ICM2002" hidden="1">{#N/A,#N/A,TRUE,"ICMAN96 (1)"}</definedName>
    <definedName name="_______ICM97" localSheetId="10" hidden="1">{#N/A,#N/A,TRUE,"ICMAN96 (1)"}</definedName>
    <definedName name="_______ICM97" hidden="1">{#N/A,#N/A,TRUE,"ICMAN96 (1)"}</definedName>
    <definedName name="______ICM2000" localSheetId="10" hidden="1">{#N/A,#N/A,TRUE,"ICMAN96 (1)"}</definedName>
    <definedName name="______ICM2000" hidden="1">{#N/A,#N/A,TRUE,"ICMAN96 (1)"}</definedName>
    <definedName name="______ICM2001" localSheetId="10" hidden="1">{#N/A,#N/A,TRUE,"ICMAN96 (1)"}</definedName>
    <definedName name="______ICM2001" hidden="1">{#N/A,#N/A,TRUE,"ICMAN96 (1)"}</definedName>
    <definedName name="______ICM2002" localSheetId="10" hidden="1">{#N/A,#N/A,TRUE,"ICMAN96 (1)"}</definedName>
    <definedName name="______ICM2002" hidden="1">{#N/A,#N/A,TRUE,"ICMAN96 (1)"}</definedName>
    <definedName name="______ICM97" localSheetId="10" hidden="1">{#N/A,#N/A,TRUE,"ICMAN96 (1)"}</definedName>
    <definedName name="______ICM97" hidden="1">{#N/A,#N/A,TRUE,"ICMAN96 (1)"}</definedName>
    <definedName name="_____ICM2000" localSheetId="10" hidden="1">{#N/A,#N/A,TRUE,"ICMAN96 (1)"}</definedName>
    <definedName name="_____ICM2000" hidden="1">{#N/A,#N/A,TRUE,"ICMAN96 (1)"}</definedName>
    <definedName name="_____ICM2001" localSheetId="10" hidden="1">{#N/A,#N/A,TRUE,"ICMAN96 (1)"}</definedName>
    <definedName name="_____ICM2001" hidden="1">{#N/A,#N/A,TRUE,"ICMAN96 (1)"}</definedName>
    <definedName name="_____ICM2002" localSheetId="10" hidden="1">{#N/A,#N/A,TRUE,"ICMAN96 (1)"}</definedName>
    <definedName name="_____ICM2002" hidden="1">{#N/A,#N/A,TRUE,"ICMAN96 (1)"}</definedName>
    <definedName name="_____ICM97" localSheetId="10" hidden="1">{#N/A,#N/A,TRUE,"ICMAN96 (1)"}</definedName>
    <definedName name="_____ICM97" hidden="1">{#N/A,#N/A,TRUE,"ICMAN96 (1)"}</definedName>
    <definedName name="____ICM2000" localSheetId="10" hidden="1">{#N/A,#N/A,TRUE,"ICMAN96 (1)"}</definedName>
    <definedName name="____ICM2000" hidden="1">{#N/A,#N/A,TRUE,"ICMAN96 (1)"}</definedName>
    <definedName name="____ICM2001" localSheetId="10" hidden="1">{#N/A,#N/A,TRUE,"ICMAN96 (1)"}</definedName>
    <definedName name="____ICM2001" hidden="1">{#N/A,#N/A,TRUE,"ICMAN96 (1)"}</definedName>
    <definedName name="____ICM2002" localSheetId="10" hidden="1">{#N/A,#N/A,TRUE,"ICMAN96 (1)"}</definedName>
    <definedName name="____ICM2002" hidden="1">{#N/A,#N/A,TRUE,"ICMAN96 (1)"}</definedName>
    <definedName name="____ICM97" localSheetId="10" hidden="1">{#N/A,#N/A,TRUE,"ICMAN96 (1)"}</definedName>
    <definedName name="____ICM97" hidden="1">{#N/A,#N/A,TRUE,"ICMAN96 (1)"}</definedName>
    <definedName name="___ICM2000" localSheetId="10" hidden="1">{#N/A,#N/A,TRUE,"ICMAN96 (1)"}</definedName>
    <definedName name="___ICM2000" hidden="1">{#N/A,#N/A,TRUE,"ICMAN96 (1)"}</definedName>
    <definedName name="___ICM2001" localSheetId="10" hidden="1">{#N/A,#N/A,TRUE,"ICMAN96 (1)"}</definedName>
    <definedName name="___ICM2001" hidden="1">{#N/A,#N/A,TRUE,"ICMAN96 (1)"}</definedName>
    <definedName name="___ICM2002" localSheetId="10" hidden="1">{#N/A,#N/A,TRUE,"ICMAN96 (1)"}</definedName>
    <definedName name="___ICM2002" hidden="1">{#N/A,#N/A,TRUE,"ICMAN96 (1)"}</definedName>
    <definedName name="___ICM97" localSheetId="10" hidden="1">{#N/A,#N/A,TRUE,"ICMAN96 (1)"}</definedName>
    <definedName name="___ICM97" hidden="1">{#N/A,#N/A,TRUE,"ICMAN96 (1)"}</definedName>
    <definedName name="__123Graph_ASIDECO" hidden="1">'[1]fluxo de caixa'!#REF!</definedName>
    <definedName name="__123Graph_BSIDECO" hidden="1">'[1]fluxo de caixa'!#REF!</definedName>
    <definedName name="__123Graph_CSIDECO" hidden="1">'[1]fluxo de caixa'!#REF!</definedName>
    <definedName name="__123Graph_XSIDECO" hidden="1">'[1]fluxo de caixa'!#REF!</definedName>
    <definedName name="__ICM2000" localSheetId="10" hidden="1">{#N/A,#N/A,TRUE,"ICMAN96 (1)"}</definedName>
    <definedName name="__ICM2000" hidden="1">{#N/A,#N/A,TRUE,"ICMAN96 (1)"}</definedName>
    <definedName name="__ICM2001" localSheetId="10" hidden="1">{#N/A,#N/A,TRUE,"ICMAN96 (1)"}</definedName>
    <definedName name="__ICM2001" hidden="1">{#N/A,#N/A,TRUE,"ICMAN96 (1)"}</definedName>
    <definedName name="__ICM2002" localSheetId="10" hidden="1">{#N/A,#N/A,TRUE,"ICMAN96 (1)"}</definedName>
    <definedName name="__ICM2002" hidden="1">{#N/A,#N/A,TRUE,"ICMAN96 (1)"}</definedName>
    <definedName name="__ICM97" localSheetId="10" hidden="1">{#N/A,#N/A,TRUE,"ICMAN96 (1)"}</definedName>
    <definedName name="__ICM97" hidden="1">{#N/A,#N/A,TRUE,"ICMAN96 (1)"}</definedName>
    <definedName name="__JAN02" localSheetId="10" hidden="1">{"VENTAS1",#N/A,FALSE,"VENTAS";"VENTAS2",#N/A,FALSE,"VENTAS";"VENTAS3",#N/A,FALSE,"VENTAS";"VENTAS4",#N/A,FALSE,"VENTAS";"VENTAS5",#N/A,FALSE,"VENTAS";"VENTAS6",#N/A,FALSE,"VENTAS";"VENTAS7",#N/A,FALSE,"VENTAS";"VENTAS8",#N/A,FALSE,"VENTAS"}</definedName>
    <definedName name="__JAN02" hidden="1">{"VENTAS1",#N/A,FALSE,"VENTAS";"VENTAS2",#N/A,FALSE,"VENTAS";"VENTAS3",#N/A,FALSE,"VENTAS";"VENTAS4",#N/A,FALSE,"VENTAS";"VENTAS5",#N/A,FALSE,"VENTAS";"VENTAS6",#N/A,FALSE,"VENTAS";"VENTAS7",#N/A,FALSE,"VENTAS";"VENTAS8",#N/A,FALSE,"VENTAS"}</definedName>
    <definedName name="__x1" localSheetId="10"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__x1"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_a110000" localSheetId="10">#REF!</definedName>
    <definedName name="_a110000">#REF!</definedName>
    <definedName name="_bdm.2cdd8e798a4d45fb8f93ca17ebdb8322.edm" localSheetId="10" hidden="1">#REF!</definedName>
    <definedName name="_bdm.2cdd8e798a4d45fb8f93ca17ebdb8322.edm" hidden="1">#REF!</definedName>
    <definedName name="_bdm.46545a25f4eb401b8be8f101c8bcb31b.edm" localSheetId="10" hidden="1">#REF!</definedName>
    <definedName name="_bdm.46545a25f4eb401b8be8f101c8bcb31b.edm" hidden="1">#REF!</definedName>
    <definedName name="_bdm.5de05960c7da43fab9815b1d70ca999b.edm" hidden="1">#REF!</definedName>
    <definedName name="_bdm.61df9a30cff8444eaae34dfd3c80e153.edm" hidden="1">'[2]Mine Model'!$1:$1048576</definedName>
    <definedName name="_bdm.65d2e5e350a14a778e732e0f4a668212.edm" localSheetId="10" hidden="1">#REF!</definedName>
    <definedName name="_bdm.65d2e5e350a14a778e732e0f4a668212.edm" hidden="1">#REF!</definedName>
    <definedName name="_bdm.6b075b6eb5b741bb94fc49337ceb6079.edm" localSheetId="10" hidden="1">#REF!</definedName>
    <definedName name="_bdm.6b075b6eb5b741bb94fc49337ceb6079.edm" hidden="1">#REF!</definedName>
    <definedName name="_bdm.6f5989c057c1401694a26d0d9a7bd11b.edm" localSheetId="10" hidden="1">#REF!</definedName>
    <definedName name="_bdm.6f5989c057c1401694a26d0d9a7bd11b.edm" hidden="1">#REF!</definedName>
    <definedName name="_bdm.7441fe4e399544aba950748b432b7458.edm" hidden="1">#REF!</definedName>
    <definedName name="_bdm.7bd060d3be164769a4dbeb7e916719fc.edm" hidden="1">#REF!</definedName>
    <definedName name="_bdm.83e4d94cc3874c87a50f3f19f01eaabe.edm" hidden="1">#REF!</definedName>
    <definedName name="_bdm.9b3a5692ef4b4daeaf527608e5740be1.edm" hidden="1">#REF!</definedName>
    <definedName name="_bdm.b8b0174a5335478992d6fab6a8880b28.edm" hidden="1">#REF!</definedName>
    <definedName name="_bdm.ba77ee8da1624a858efbfaccd3eef2ee.edm" hidden="1">'[2]Pellet model'!$1:$1048576</definedName>
    <definedName name="_bdm.d180fed53d5f47b9a521edb79fe26c0f.edm" localSheetId="10" hidden="1">#REF!</definedName>
    <definedName name="_bdm.d180fed53d5f47b9a521edb79fe26c0f.edm" hidden="1">#REF!</definedName>
    <definedName name="_bdm.fa111729919841c3a8bfa0dbd5e193ea.edm" localSheetId="10" hidden="1">#REF!</definedName>
    <definedName name="_bdm.fa111729919841c3a8bfa0dbd5e193ea.edm" hidden="1">#REF!</definedName>
    <definedName name="_bdm.faee2c121c8e424e93d1c42c4448fd4d.edm" localSheetId="10" hidden="1">#REF!</definedName>
    <definedName name="_bdm.faee2c121c8e424e93d1c42c4448fd4d.edm" hidden="1">#REF!</definedName>
    <definedName name="_bdm.fbdc1dd7d510485b830cba9b970fa671.edm" hidden="1">#REF!</definedName>
    <definedName name="_Fill" localSheetId="10" hidden="1">[3]REAC1!#REF!</definedName>
    <definedName name="_Fill" hidden="1">[3]REAC1!#REF!</definedName>
    <definedName name="_ICM2000" localSheetId="10" hidden="1">{#N/A,#N/A,TRUE,"ICMAN96 (1)"}</definedName>
    <definedName name="_ICM2000" hidden="1">{#N/A,#N/A,TRUE,"ICMAN96 (1)"}</definedName>
    <definedName name="_ICM2001" localSheetId="10" hidden="1">{#N/A,#N/A,TRUE,"ICMAN96 (1)"}</definedName>
    <definedName name="_ICM2001" hidden="1">{#N/A,#N/A,TRUE,"ICMAN96 (1)"}</definedName>
    <definedName name="_ICM2002" localSheetId="10" hidden="1">{#N/A,#N/A,TRUE,"ICMAN96 (1)"}</definedName>
    <definedName name="_ICM2002" hidden="1">{#N/A,#N/A,TRUE,"ICMAN96 (1)"}</definedName>
    <definedName name="_ICM97" localSheetId="10" hidden="1">{#N/A,#N/A,TRUE,"ICMAN96 (1)"}</definedName>
    <definedName name="_ICM97" hidden="1">{#N/A,#N/A,TRUE,"ICMAN96 (1)"}</definedName>
    <definedName name="_JAN02" localSheetId="10" hidden="1">{"VENTAS1",#N/A,FALSE,"VENTAS";"VENTAS2",#N/A,FALSE,"VENTAS";"VENTAS3",#N/A,FALSE,"VENTAS";"VENTAS4",#N/A,FALSE,"VENTAS";"VENTAS5",#N/A,FALSE,"VENTAS";"VENTAS6",#N/A,FALSE,"VENTAS";"VENTAS7",#N/A,FALSE,"VENTAS";"VENTAS8",#N/A,FALSE,"VENTAS"}</definedName>
    <definedName name="_JAN02" hidden="1">{"VENTAS1",#N/A,FALSE,"VENTAS";"VENTAS2",#N/A,FALSE,"VENTAS";"VENTAS3",#N/A,FALSE,"VENTAS";"VENTAS4",#N/A,FALSE,"VENTAS";"VENTAS5",#N/A,FALSE,"VENTAS";"VENTAS6",#N/A,FALSE,"VENTAS";"VENTAS7",#N/A,FALSE,"VENTAS";"VENTAS8",#N/A,FALSE,"VENTAS"}</definedName>
    <definedName name="_Key1" localSheetId="10" hidden="1">#REF!</definedName>
    <definedName name="_Key1" hidden="1">#REF!</definedName>
    <definedName name="_Key2" localSheetId="10" hidden="1">#REF!</definedName>
    <definedName name="_Key2" hidden="1">#REF!</definedName>
    <definedName name="_Order1" hidden="1">255</definedName>
    <definedName name="_Order2" hidden="1">0</definedName>
    <definedName name="_Parse_In" localSheetId="10" hidden="1">#REF!</definedName>
    <definedName name="_Parse_In" hidden="1">#REF!</definedName>
    <definedName name="_Parse_Out" localSheetId="10" hidden="1">#REF!</definedName>
    <definedName name="_Parse_Out" hidden="1">#REF!</definedName>
    <definedName name="_pl21" localSheetId="10">#REF!</definedName>
    <definedName name="_pl21">#REF!</definedName>
    <definedName name="_Regression_X" localSheetId="10" hidden="1">'[4]Primary 2005Q1'!#REF!</definedName>
    <definedName name="_Regression_X" hidden="1">'[4]Primary 2005Q1'!#REF!</definedName>
    <definedName name="_Regression_Y" localSheetId="10" hidden="1">'[4]Primary 2005Q1'!#REF!</definedName>
    <definedName name="_Regression_Y" hidden="1">'[4]Primary 2005Q1'!#REF!</definedName>
    <definedName name="_Sort" localSheetId="10" hidden="1">#REF!</definedName>
    <definedName name="_Sort" hidden="1">#REF!</definedName>
    <definedName name="_Table1_In1" localSheetId="10" hidden="1">#REF!</definedName>
    <definedName name="_Table1_In1" hidden="1">#REF!</definedName>
    <definedName name="_Table1_Out" localSheetId="10" hidden="1">#REF!</definedName>
    <definedName name="_Table1_Out" hidden="1">#REF!</definedName>
    <definedName name="_x1" localSheetId="10"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_x1"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A" localSheetId="10" hidden="1">{#N/A,#N/A,TRUE,"ICMAN96 (1)"}</definedName>
    <definedName name="A" hidden="1">{#N/A,#N/A,TRUE,"ICMAN96 (1)"}</definedName>
    <definedName name="aa" localSheetId="10" hidden="1">{"'Quadro'!$A$4:$BG$78"}</definedName>
    <definedName name="aa" hidden="1">{"'Quadro'!$A$4:$BG$78"}</definedName>
    <definedName name="AAA" localSheetId="10" hidden="1">{#N/A,#N/A,TRUE,"ICMAN96 (1)"}</definedName>
    <definedName name="AAA" hidden="1">{#N/A,#N/A,TRUE,"ICMAN96 (1)"}</definedName>
    <definedName name="AAAA" localSheetId="10" hidden="1">{"'Índice'!$A$1:$K$49"}</definedName>
    <definedName name="AAAA" hidden="1">{"'Índice'!$A$1:$K$49"}</definedName>
    <definedName name="adadwqedw"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dadwqedw"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fafaf" localSheetId="10" hidden="1">{"'Índice'!$A$1:$K$49"}</definedName>
    <definedName name="afafaf" hidden="1">{"'Índice'!$A$1:$K$49"}</definedName>
    <definedName name="afafafa"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fafaf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fafgwegewg"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fafgwegewg"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mortizacione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mortizac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nscount" hidden="1">1</definedName>
    <definedName name="_xlnm.Print_Area" localSheetId="11">'ANTP_1.1. Passageiros'!$A$1:$L$55</definedName>
    <definedName name="_xlnm.Print_Area" localSheetId="12">'ANTP_1.2. KM programada'!$A$1:$F$13</definedName>
    <definedName name="_xlnm.Print_Area" localSheetId="13">'ANTP_1.3 Frota Total'!$A$1:$F$118</definedName>
    <definedName name="_xlnm.Print_Area" localSheetId="14">'ANTP_1.4 Indicadores'!$A$1:$F$31</definedName>
    <definedName name="_xlnm.Print_Area" localSheetId="18">'ANTP_2 Custos (resumo)'!$A$1:$H$80</definedName>
    <definedName name="_xlnm.Print_Area" localSheetId="20">'ANTP_2.1. Custo Variável'!$A$1:$G$10</definedName>
    <definedName name="_xlnm.Print_Area" localSheetId="15">'ANTP_2.1.a Combustível'!$A$1:$F$75</definedName>
    <definedName name="_xlnm.Print_Area" localSheetId="16">'ANTP_2.1.b Veículos'!$A$1:$G$60</definedName>
    <definedName name="_xlnm.Print_Area" localSheetId="17">'ANTP_2.1.c Insumos'!$A$1:$H$101</definedName>
    <definedName name="_xlnm.Print_Area" localSheetId="21">'ANTP_2.2 Custo Fixo'!$A$1:$H$34</definedName>
    <definedName name="_xlnm.Print_Area" localSheetId="22">'ANTP_2.3 RPS'!$A$1:$H$9</definedName>
    <definedName name="_xlnm.Print_Area" localSheetId="23">'ANTP_4. Custo Total'!$A$1:$H$11</definedName>
    <definedName name="_xlnm.Print_Area" localSheetId="24">'ANTP_4.1. Custo Pass. Transp.'!$A$1:$H$8</definedName>
    <definedName name="_xlnm.Print_Area" localSheetId="25">'ANTP_4.2. Tarifa Técnica'!$A$1:$H$10</definedName>
    <definedName name="_xlnm.Print_Area" localSheetId="19">ANTP_Resumo!$A$1:$H$136</definedName>
    <definedName name="_xlnm.Print_Area" localSheetId="0">Ent_Geral!$A$1:$F$161</definedName>
    <definedName name="_xlnm.Print_Area" localSheetId="1">'Ent_Plano Renovação Frota'!$A$1:$P$655</definedName>
    <definedName name="_xlnm.Print_Area" localSheetId="8">FC_CAPEX!$A$1:$S$30</definedName>
    <definedName name="_xlnm.Print_Area" localSheetId="7">FC_Depreciação!$A$1:$Q$11</definedName>
    <definedName name="_xlnm.Print_Area" localSheetId="6">FC_DRE!$A$1:$Q$51</definedName>
    <definedName name="_xlnm.Print_Area" localSheetId="9">FC_Payback!$A$1:$F$37</definedName>
    <definedName name="_xlnm.Print_Area" localSheetId="5">FC_Premissas!$A$1:$R$41</definedName>
    <definedName name="_xlnm.Print_Area" localSheetId="10">FC_WACC!$A$1:$I$53</definedName>
    <definedName name="_xlnm.Print_Area" localSheetId="46">'Ref_A.XVI. Despesas Gerais'!$A$1:$D$51</definedName>
    <definedName name="_xlnm.Print_Area" localSheetId="3">'Resultados_Composição CT'!$A$1:$F$83</definedName>
    <definedName name="_xlnm.Print_Area" localSheetId="4">Resultados_FluxoCaixa!$A$1:$R$15</definedName>
    <definedName name="_xlnm.Print_Area" localSheetId="2">'Resultados_Tarifa e TIR'!$A$1:$C$23</definedName>
    <definedName name="as" localSheetId="10" hidden="1">{#N/A,#N/A,TRUE,"ICMAN96 (1)"}</definedName>
    <definedName name="as" hidden="1">{#N/A,#N/A,TRUE,"ICMAN96 (1)"}</definedName>
    <definedName name="AS2DocOpenMode" hidden="1">"AS2DocumentEdit"</definedName>
    <definedName name="AS2ReportLS" hidden="1">1</definedName>
    <definedName name="AS2StaticLS" localSheetId="10" hidden="1">#REF!</definedName>
    <definedName name="AS2StaticLS" hidden="1">#REF!</definedName>
    <definedName name="AS2SyncStepLS" hidden="1">0</definedName>
    <definedName name="AS2TickmarkLS" localSheetId="10" hidden="1">#REF!</definedName>
    <definedName name="AS2TickmarkLS" hidden="1">#REF!</definedName>
    <definedName name="AS2VersionLS" hidden="1">300</definedName>
    <definedName name="asd" localSheetId="10" hidden="1">{#N/A,#N/A,TRUE,"ICMAN96 (1)"}</definedName>
    <definedName name="asd" hidden="1">{#N/A,#N/A,TRUE,"ICMAN96 (1)"}</definedName>
    <definedName name="asdadaf"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asdadaf"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asdad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dad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dasda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dasda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fafasfa"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fafasf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s" localSheetId="10" hidden="1">{"defnitiva1",#N/A,FALSE,"RESUMO DA DÍVIDA";"defitiva2",#N/A,FALSE,"RESUMO DA DÍVIDA";"defitiva3",#N/A,FALSE,"RESUMO DA DÍVIDA"}</definedName>
    <definedName name="ass" hidden="1">{"defnitiva1",#N/A,FALSE,"RESUMO DA DÍVIDA";"defitiva2",#N/A,FALSE,"RESUMO DA DÍVIDA";"defitiva3",#N/A,FALSE,"RESUMO DA DÍVIDA"}</definedName>
    <definedName name="assd"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ssd"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awsdew" localSheetId="10" hidden="1">{#N/A,#N/A,TRUE,"ICMAN96 (1)"}</definedName>
    <definedName name="awsdew" hidden="1">{#N/A,#N/A,TRUE,"ICMAN96 (1)"}</definedName>
    <definedName name="b" hidden="1">"3JPDHGVI81EDF3A39A4GZUW6B"</definedName>
    <definedName name="balance"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balance"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Banco_dados_IM">'[5] URBANO 2ª PARTE'!#REF!</definedName>
    <definedName name="barbara" localSheetId="10" hidden="1">{#N/A,#N/A,TRUE,"ICMAN96 (1)"}</definedName>
    <definedName name="barbara" hidden="1">{#N/A,#N/A,TRUE,"ICMAN96 (1)"}</definedName>
    <definedName name="Base" localSheetId="10" hidden="1">#REF!</definedName>
    <definedName name="Base" hidden="1">#REF!</definedName>
    <definedName name="BB" localSheetId="10" hidden="1">{"'Quadro'!$A$4:$BG$78"}</definedName>
    <definedName name="BB" hidden="1">{"'Quadro'!$A$4:$BG$78"}</definedName>
    <definedName name="bbbb" localSheetId="10" hidden="1">{"defnitiva1",#N/A,FALSE,"RESUMO DA DÍVIDA";"defitiva2",#N/A,FALSE,"RESUMO DA DÍVIDA";"defitiva3",#N/A,FALSE,"RESUMO DA DÍVIDA"}</definedName>
    <definedName name="bbbb" hidden="1">{"defnitiva1",#N/A,FALSE,"RESUMO DA DÍVIDA";"defitiva2",#N/A,FALSE,"RESUMO DA DÍVIDA";"defitiva3",#N/A,FALSE,"RESUMO DA DÍVIDA"}</definedName>
    <definedName name="BG_Del" hidden="1">15</definedName>
    <definedName name="BG_Ins" hidden="1">4</definedName>
    <definedName name="BG_Mod" hidden="1">6</definedName>
    <definedName name="BLPH1" localSheetId="10" hidden="1">#REF!</definedName>
    <definedName name="BLPH1" hidden="1">#REF!</definedName>
    <definedName name="BLPH14" localSheetId="10" hidden="1">#REF!</definedName>
    <definedName name="BLPH14" hidden="1">#REF!</definedName>
    <definedName name="BLPH15" localSheetId="10" hidden="1">#REF!</definedName>
    <definedName name="BLPH15" hidden="1">#REF!</definedName>
    <definedName name="BLPH2" hidden="1">#REF!</definedName>
    <definedName name="BLPH3" hidden="1">#REF!</definedName>
    <definedName name="BLPH4" hidden="1">#REF!</definedName>
    <definedName name="BLPH5" hidden="1">#REF!</definedName>
    <definedName name="Capacidade" localSheetId="10" hidden="1">{#N/A,#N/A,TRUE,"ICMAN96 (1)"}</definedName>
    <definedName name="Capacidade" hidden="1">{#N/A,#N/A,TRUE,"ICMAN96 (1)"}</definedName>
    <definedName name="CAPTURA2" localSheetId="10" hidden="1">{"'171'!$A$1:$Z$50"}</definedName>
    <definedName name="CAPTURA2" hidden="1">{"'171'!$A$1:$Z$50"}</definedName>
    <definedName name="CBWorkbookPriority" hidden="1">-996441967</definedName>
    <definedName name="cccc" localSheetId="10" hidden="1">{"defnitiva1",#N/A,FALSE,"RESUMO DA DÍVIDA";"defitiva2",#N/A,FALSE,"RESUMO DA DÍVIDA";"defitiva3",#N/A,FALSE,"RESUMO DA DÍVIDA"}</definedName>
    <definedName name="cccc" hidden="1">{"defnitiva1",#N/A,FALSE,"RESUMO DA DÍVIDA";"defitiva2",#N/A,FALSE,"RESUMO DA DÍVIDA";"defitiva3",#N/A,FALSE,"RESUMO DA DÍVIDA"}</definedName>
    <definedName name="cds" localSheetId="10" hidden="1">{#N/A,#N/A,TRUE,"ICMAN96 (1)"}</definedName>
    <definedName name="cds" hidden="1">{#N/A,#N/A,TRUE,"ICMAN96 (1)"}</definedName>
    <definedName name="CIQWBGuid" hidden="1">"Plano de Negócios 2020 - TCP v5.xlsx"</definedName>
    <definedName name="Contrato1" localSheetId="10" hidden="1">{#N/A,#N/A,TRUE,"ICMAN96 (1)"}</definedName>
    <definedName name="Contrato1" hidden="1">{#N/A,#N/A,TRUE,"ICMAN96 (1)"}</definedName>
    <definedName name="Criteria">'[5] URBANO 2ª PARTE'!#REF!</definedName>
    <definedName name="Critérios_IM">'[5] URBANO 2ª PARTE'!#REF!</definedName>
    <definedName name="CURVA2" localSheetId="10" hidden="1">{"'171'!$A$1:$Z$50"}</definedName>
    <definedName name="CURVA2" hidden="1">{"'171'!$A$1:$Z$50"}</definedName>
    <definedName name="Database">'[5] URBANO 2ª PARTE'!#REF!</definedName>
    <definedName name="DDD" localSheetId="10" hidden="1">{#N/A,#N/A,TRUE,"ICMAN96 (1)"}</definedName>
    <definedName name="DDD" hidden="1">{#N/A,#N/A,TRUE,"ICMAN96 (1)"}</definedName>
    <definedName name="DDDD" localSheetId="10" hidden="1">{"'Quadro'!$A$4:$BG$78"}</definedName>
    <definedName name="DDDD" hidden="1">{"'Quadro'!$A$4:$BG$78"}</definedName>
    <definedName name="depreciacione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preciac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spacho" localSheetId="10" hidden="1">{#N/A,#N/A,TRUE,"ICMAN96 (1)"}</definedName>
    <definedName name="Despacho" hidden="1">{#N/A,#N/A,TRUE,"ICMAN96 (1)"}</definedName>
    <definedName name="deuda"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ud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udasme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udasm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DEZ" localSheetId="10" hidden="1">{#N/A,#N/A,TRUE,"ICMAN96 (1)"}</definedName>
    <definedName name="DEZ" hidden="1">{#N/A,#N/A,TRUE,"ICMAN96 (1)"}</definedName>
    <definedName name="dsds" localSheetId="10" hidden="1">{#N/A,#N/A,TRUE,"ICMAN96 (1)"}</definedName>
    <definedName name="dsds" hidden="1">{#N/A,#N/A,TRUE,"ICMAN96 (1)"}</definedName>
    <definedName name="dse" localSheetId="10" hidden="1">{#N/A,#N/A,TRUE,"ICMAN96 (1)"}</definedName>
    <definedName name="dse" hidden="1">{#N/A,#N/A,TRUE,"ICMAN96 (1)"}</definedName>
    <definedName name="Dúvidas" localSheetId="10" hidden="1">{"'Quadro'!$A$4:$BG$78"}</definedName>
    <definedName name="Dúvidas" hidden="1">{"'Quadro'!$A$4:$BG$78"}</definedName>
    <definedName name="ehejerjr"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ehejerjr"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eherheheh" localSheetId="10" hidden="1">{"VENTAS1",#N/A,FALSE,"VENTAS";"VENTAS2",#N/A,FALSE,"VENTAS";"VENTAS3",#N/A,FALSE,"VENTAS";"VENTAS4",#N/A,FALSE,"VENTAS";"VENTAS5",#N/A,FALSE,"VENTAS";"VENTAS6",#N/A,FALSE,"VENTAS";"VENTAS7",#N/A,FALSE,"VENTAS";"VENTAS8",#N/A,FALSE,"VENTAS"}</definedName>
    <definedName name="eherheheh" hidden="1">{"VENTAS1",#N/A,FALSE,"VENTAS";"VENTAS2",#N/A,FALSE,"VENTAS";"VENTAS3",#N/A,FALSE,"VENTAS";"VENTAS4",#N/A,FALSE,"VENTAS";"VENTAS5",#N/A,FALSE,"VENTAS";"VENTAS6",#N/A,FALSE,"VENTAS";"VENTAS7",#N/A,FALSE,"VENTAS";"VENTAS8",#N/A,FALSE,"VENTAS"}</definedName>
    <definedName name="Encuesta" localSheetId="10" hidden="1">{#N/A,#N/A,TRUE,"ICMAN96 (1)"}</definedName>
    <definedName name="Encuesta" hidden="1">{#N/A,#N/A,TRUE,"ICMAN96 (1)"}</definedName>
    <definedName name="ev.Calculation" hidden="1">-4135</definedName>
    <definedName name="ev.Initialized" hidden="1">FALSE</definedName>
    <definedName name="EV__EVCOM_OPTIONS__" hidden="1">8</definedName>
    <definedName name="EV__EXPOPTIONS__" hidden="1">0</definedName>
    <definedName name="EV__LASTREFTIME__" hidden="1">"(GMT-03:00)26/07/2012 10:18:35"</definedName>
    <definedName name="EV__MAXEXPCOLS__" hidden="1">100</definedName>
    <definedName name="EV__MAXEXPROWS__" hidden="1">1000</definedName>
    <definedName name="EV__MEMORYCVW__" hidden="1">0</definedName>
    <definedName name="EV__WBEVMODE__" hidden="1">1</definedName>
    <definedName name="EV__WBREFOPTIONS__" hidden="1">134217743</definedName>
    <definedName name="EV__WBVERSION__" hidden="1">0</definedName>
    <definedName name="EV__WSINFO__" hidden="1">"gif_100811"</definedName>
    <definedName name="Extract">'[5] URBANO 2ª PARTE'!#REF!</definedName>
    <definedName name="Extrair_IM">'[5] URBANO 2ª PARTE'!#REF!</definedName>
    <definedName name="FCA" localSheetId="10" hidden="1">{"'Quadro'!$A$4:$BG$78"}</definedName>
    <definedName name="FCA" hidden="1">{"'Quadro'!$A$4:$BG$78"}</definedName>
    <definedName name="fin"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fin"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Financ.Resumen"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Financ.Resume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freew" localSheetId="10" hidden="1">{#N/A,#N/A,TRUE,"ICMAN96 (1)"}</definedName>
    <definedName name="freew" hidden="1">{#N/A,#N/A,TRUE,"ICMAN96 (1)"}</definedName>
    <definedName name="gg" localSheetId="10" hidden="1">{"'REL CUSTODIF'!$B$1:$H$72"}</definedName>
    <definedName name="gg" hidden="1">{"'REL CUSTODIF'!$B$1:$H$72"}</definedName>
    <definedName name="GNAaux" localSheetId="10" hidden="1">{"2004",#N/A,FALSE,"DEFINITIVA CASH";"2005",#N/A,FALSE,"DEFINITIVA CASH";"2006",#N/A,FALSE,"DEFINITIVA CASH"}</definedName>
    <definedName name="GNAaux" hidden="1">{"2004",#N/A,FALSE,"DEFINITIVA CASH";"2005",#N/A,FALSE,"DEFINITIVA CASH";"2006",#N/A,FALSE,"DEFINITIVA CASH"}</definedName>
    <definedName name="gravedad" localSheetId="10" hidden="1">{#N/A,#N/A,TRUE,"ICMAN96 (1)"}</definedName>
    <definedName name="gravedad" hidden="1">{#N/A,#N/A,TRUE,"ICMAN96 (1)"}</definedName>
    <definedName name="hehehe"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hehehe"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HTML_CodePage" hidden="1">1252</definedName>
    <definedName name="HTML_Control" localSheetId="10" hidden="1">{"'171'!$A$1:$Z$50"}</definedName>
    <definedName name="HTML_Control" hidden="1">{"'171'!$A$1:$Z$50"}</definedName>
    <definedName name="HTML_Control2" localSheetId="10" hidden="1">{"'171'!$A$1:$Z$50"}</definedName>
    <definedName name="HTML_Control2" hidden="1">{"'171'!$A$1:$Z$50"}</definedName>
    <definedName name="HTML_Description" hidden="1">""</definedName>
    <definedName name="HTML_Email" hidden="1">""</definedName>
    <definedName name="HTML_Header" hidden="1">"171"</definedName>
    <definedName name="HTML_LastUpdate" hidden="1">"29/05/01"</definedName>
    <definedName name="HTML_LineAfter" hidden="1">FALSE</definedName>
    <definedName name="HTML_LineBefore" hidden="1">FALSE</definedName>
    <definedName name="HTML_Name" hidden="1">"Luciano Fernandes Falcioni"</definedName>
    <definedName name="HTML_OBDlg2" hidden="1">TRUE</definedName>
    <definedName name="HTML_OBDlg4" hidden="1">TRUE</definedName>
    <definedName name="HTML_OS" hidden="1">0</definedName>
    <definedName name="HTML_PathFile" hidden="1">"C:\PPF\MeuHTML.htm"</definedName>
    <definedName name="HTML_Title" hidden="1">"SACI2"</definedName>
    <definedName name="ICELECTRONICO" localSheetId="10" hidden="1">{#N/A,#N/A,TRUE,"ICMAN96 (1)"}</definedName>
    <definedName name="ICELECTRONICO" hidden="1">{#N/A,#N/A,TRUE,"ICMAN96 (1)"}</definedName>
    <definedName name="ICIMAN1" localSheetId="10" hidden="1">{#N/A,#N/A,TRUE,"ICMAN96 (1)"}</definedName>
    <definedName name="ICIMAN1" hidden="1">{#N/A,#N/A,TRUE,"ICMAN96 (1)"}</definedName>
    <definedName name="ICM_2000" localSheetId="10" hidden="1">{#N/A,#N/A,TRUE,"ICMAN96 (1)"}</definedName>
    <definedName name="ICM_2000" hidden="1">{#N/A,#N/A,TRUE,"ICMAN96 (1)"}</definedName>
    <definedName name="ICM98_2000_" localSheetId="10" hidden="1">{#N/A,#N/A,TRUE,"ICMAN96 (1)"}</definedName>
    <definedName name="ICM98_2000_" hidden="1">{#N/A,#N/A,TRUE,"ICMAN96 (1)"}</definedName>
    <definedName name="icmam20" localSheetId="10" hidden="1">{#N/A,#N/A,TRUE,"ICMAN96 (1)"}</definedName>
    <definedName name="icmam20" hidden="1">{#N/A,#N/A,TRUE,"ICMAN96 (1)"}</definedName>
    <definedName name="icman21" localSheetId="10" hidden="1">{#N/A,#N/A,TRUE,"ICMAN96 (1)"}</definedName>
    <definedName name="icman21" hidden="1">{#N/A,#N/A,TRUE,"ICMAN96 (1)"}</definedName>
    <definedName name="icman99" localSheetId="10" hidden="1">{#N/A,#N/A,TRUE,"ICMAN96 (1)"}</definedName>
    <definedName name="icman99" hidden="1">{#N/A,#N/A,TRUE,"ICMAN96 (1)"}</definedName>
    <definedName name="ICMECANICO" localSheetId="10" hidden="1">{#N/A,#N/A,TRUE,"ICMAN96 (1)"}</definedName>
    <definedName name="ICMECANICO" hidden="1">{#N/A,#N/A,TRUE,"ICMAN96 (1)"}</definedName>
    <definedName name="ICMMM" localSheetId="10" hidden="1">{#N/A,#N/A,TRUE,"ICMAN96 (1)"}</definedName>
    <definedName name="ICMMM" hidden="1">{#N/A,#N/A,TRUE,"ICMAN96 (1)"}</definedName>
    <definedName name="iii" localSheetId="10" hidden="1">{#N/A,#N/A,TRUE,"ICMAN96 (1)"}</definedName>
    <definedName name="iii" hidden="1">{#N/A,#N/A,TRUE,"ICMAN96 (1)"}</definedName>
    <definedName name="Imob" localSheetId="10" hidden="1">{#N/A,#N/A,TRUE,"ICMAN96 (1)"}</definedName>
    <definedName name="Imob" hidden="1">{#N/A,#N/A,TRUE,"ICMAN96 (1)"}</definedName>
    <definedName name="INC" localSheetId="10" hidden="1">{#N/A,#N/A,TRUE,"ICMAN96 (1)"}</definedName>
    <definedName name="INC" hidden="1">{#N/A,#N/A,TRUE,"ICMAN96 (1)"}</definedName>
    <definedName name="indic" localSheetId="10" hidden="1">{#N/A,#N/A,TRUE,"ICMAN96 (1)"}</definedName>
    <definedName name="indic" hidden="1">{#N/A,#N/A,TRUE,"ICMAN96 (1)"}</definedName>
    <definedName name="Inflación"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flació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FO_CIL" localSheetId="10" hidden="1">{#N/A,#N/A,TRUE,"ICMAN96 (1)"}</definedName>
    <definedName name="INFO_CIL" hidden="1">{#N/A,#N/A,TRUE,"ICMAN96 (1)"}</definedName>
    <definedName name="INFO_MAR" localSheetId="10" hidden="1">{#N/A,#N/A,TRUE,"ICMAN96 (1)"}</definedName>
    <definedName name="INFO_MAR" hidden="1">{#N/A,#N/A,TRUE,"ICMAN96 (1)"}</definedName>
    <definedName name="INFO2" localSheetId="10" hidden="1">{#N/A,#N/A,TRUE,"ICMAN96 (1)"}</definedName>
    <definedName name="INFO2" hidden="1">{#N/A,#N/A,TRUE,"ICMAN96 (1)"}</definedName>
    <definedName name="Infra" localSheetId="10" hidden="1">{"'Quadro'!$A$4:$BG$78"}</definedName>
    <definedName name="Infra" hidden="1">{"'Quadro'!$A$4:$BG$78"}</definedName>
    <definedName name="Interno1" localSheetId="10" hidden="1">{#N/A,#N/A,TRUE,"ICMAN96 (1)"}</definedName>
    <definedName name="Interno1" hidden="1">{#N/A,#N/A,TRUE,"ICMAN96 (1)"}</definedName>
    <definedName name="interno2" localSheetId="10" hidden="1">{#N/A,#N/A,TRUE,"ICMAN96 (1)"}</definedName>
    <definedName name="interno2" hidden="1">{#N/A,#N/A,TRUE,"ICMAN96 (1)"}</definedName>
    <definedName name="inv"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ón"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ó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es"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rsiones"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Investimentos" localSheetId="10" hidden="1">{"defnitiva1",#N/A,FALSE,"RESUMO DA DÍVIDA";"defitiva2",#N/A,FALSE,"RESUMO DA DÍVIDA";"defitiva3",#N/A,FALSE,"RESUMO DA DÍVIDA"}</definedName>
    <definedName name="Investimentos" hidden="1">{"defnitiva1",#N/A,FALSE,"RESUMO DA DÍVIDA";"defitiva2",#N/A,FALSE,"RESUMO DA DÍVIDA";"defitiva3",#N/A,FALSE,"RESUMO DA DÍVIDA"}</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HIGH_EST" hidden="1">"c4166"</definedName>
    <definedName name="IQ_CASH_OPER_LOW_EST" hidden="1">"c4244"</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"c1437"</definedName>
    <definedName name="IQ_LTMMONTH" hidden="1">120000</definedName>
    <definedName name="IQ_MACHINERY" hidden="1">"c711"</definedName>
    <definedName name="IQ_MAINT_CAPEX_ACT_OR_EST" hidden="1">"c4458"</definedName>
    <definedName name="IQ_MAINT_CAPEX_EST" hidden="1">"c4457"</definedName>
    <definedName name="IQ_MAINT_CAPEX_HIGH_EST" hidden="1">"c4460"</definedName>
    <definedName name="IQ_MAINT_CAPEX_LOW_EST" hidden="1">"c4461"</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42474.4936458333</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EVOLVING_SECURED_1_–4_NON_ACCRUAL_FFIEC" hidden="1">"c15565"</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MONTH" hidden="1">130000</definedName>
    <definedName name="IQ_Z_SCORE" hidden="1">"c1339"</definedName>
    <definedName name="item" localSheetId="10" hidden="1">{#N/A,#N/A,TRUE,"ICMAN96 (1)"}</definedName>
    <definedName name="item" hidden="1">{#N/A,#N/A,TRUE,"ICMAN96 (1)"}</definedName>
    <definedName name="limcount" hidden="1">1</definedName>
    <definedName name="ListOffset" hidden="1">1</definedName>
    <definedName name="ll"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ll"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merito"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merito"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MEWarning" hidden="1">1</definedName>
    <definedName name="mmmmm"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mmmmm"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nnnn" localSheetId="10" hidden="1">{"defnitiva1",#N/A,FALSE,"RESUMO DA DÍVIDA";"defitiva2",#N/A,FALSE,"RESUMO DA DÍVIDA";"defitiva3",#N/A,FALSE,"RESUMO DA DÍVIDA"}</definedName>
    <definedName name="nnnn" hidden="1">{"defnitiva1",#N/A,FALSE,"RESUMO DA DÍVIDA";"defitiva2",#N/A,FALSE,"RESUMO DA DÍVIDA";"defitiva3",#N/A,FALSE,"RESUMO DA DÍVIDA"}</definedName>
    <definedName name="OA"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A"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dilon1200" hidden="1">"42AGZYADVM0TINQJBEDQPZM29"</definedName>
    <definedName name="ola" localSheetId="10" hidden="1">{#N/A,#N/A,TRUE,"ICMAN96 (1)"}</definedName>
    <definedName name="ola" hidden="1">{#N/A,#N/A,TRUE,"ICMAN96 (1)"}</definedName>
    <definedName name="oliita" localSheetId="10" hidden="1">{#N/A,#N/A,TRUE,"ICMAN96 (1)"}</definedName>
    <definedName name="oliita" hidden="1">{#N/A,#N/A,TRUE,"ICMAN96 (1)"}</definedName>
    <definedName name="olita" localSheetId="10" hidden="1">{#N/A,#N/A,TRUE,"ICMAN96 (1)"}</definedName>
    <definedName name="olita" hidden="1">{#N/A,#N/A,TRUE,"ICMAN96 (1)"}</definedName>
    <definedName name="origen"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rigen"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os" localSheetId="10" hidden="1">{#N/A,#N/A,TRUE,"ICMAN96 (1)"}</definedName>
    <definedName name="os" hidden="1">{#N/A,#N/A,TRUE,"ICMAN96 (1)"}</definedName>
    <definedName name="osmar" localSheetId="10" hidden="1">{#N/A,#N/A,TRUE,"ICMAN96 (1)"}</definedName>
    <definedName name="osmar" hidden="1">{#N/A,#N/A,TRUE,"ICMAN96 (1)"}</definedName>
    <definedName name="Prensa" localSheetId="10" hidden="1">{#N/A,#N/A,TRUE,"ICMAN96 (1)"}</definedName>
    <definedName name="Prensa" hidden="1">{#N/A,#N/A,TRUE,"ICMAN96 (1)"}</definedName>
    <definedName name="PRENSA2" localSheetId="10" hidden="1">{#N/A,#N/A,TRUE,"ICMAN96 (1)"}</definedName>
    <definedName name="PRENSA2" hidden="1">{#N/A,#N/A,TRUE,"ICMAN96 (1)"}</definedName>
    <definedName name="Previsao" localSheetId="10" hidden="1">#REF!</definedName>
    <definedName name="Previsao" hidden="1">#REF!</definedName>
    <definedName name="Print_Area" localSheetId="1">'Ent_Plano Renovação Frota'!$A:$N</definedName>
    <definedName name="Print_Titles" localSheetId="1">'Ent_Plano Renovação Frota'!$4:$5</definedName>
    <definedName name="QQ" hidden="1">[6]Matriz!$K$9:$K$23</definedName>
    <definedName name="qqq"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q"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q"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qq"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qq"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qqqqqq" localSheetId="10" hidden="1">{"VENTAS1",#N/A,FALSE,"VENTAS";"VENTAS2",#N/A,FALSE,"VENTAS";"VENTAS3",#N/A,FALSE,"VENTAS";"VENTAS4",#N/A,FALSE,"VENTAS";"VENTAS5",#N/A,FALSE,"VENTAS";"VENTAS6",#N/A,FALSE,"VENTAS";"VENTAS7",#N/A,FALSE,"VENTAS";"VENTAS8",#N/A,FALSE,"VENTAS"}</definedName>
    <definedName name="qqqqqq" hidden="1">{"VENTAS1",#N/A,FALSE,"VENTAS";"VENTAS2",#N/A,FALSE,"VENTAS";"VENTAS3",#N/A,FALSE,"VENTAS";"VENTAS4",#N/A,FALSE,"VENTAS";"VENTAS5",#N/A,FALSE,"VENTAS";"VENTAS6",#N/A,FALSE,"VENTAS";"VENTAS7",#N/A,FALSE,"VENTAS";"VENTAS8",#N/A,FALSE,"VENTAS"}</definedName>
    <definedName name="qqqqqqq" localSheetId="10" hidden="1">{"VENTAS1",#N/A,FALSE,"VENTAS";"VENTAS2",#N/A,FALSE,"VENTAS";"VENTAS3",#N/A,FALSE,"VENTAS";"VENTAS4",#N/A,FALSE,"VENTAS";"VENTAS5",#N/A,FALSE,"VENTAS";"VENTAS6",#N/A,FALSE,"VENTAS";"VENTAS7",#N/A,FALSE,"VENTAS";"VENTAS8",#N/A,FALSE,"VENTAS"}</definedName>
    <definedName name="qqqqqqq" hidden="1">{"VENTAS1",#N/A,FALSE,"VENTAS";"VENTAS2",#N/A,FALSE,"VENTAS";"VENTAS3",#N/A,FALSE,"VENTAS";"VENTAS4",#N/A,FALSE,"VENTAS";"VENTAS5",#N/A,FALSE,"VENTAS";"VENTAS6",#N/A,FALSE,"VENTAS";"VENTAS7",#N/A,FALSE,"VENTAS";"VENTAS8",#N/A,FALSE,"VENTAS"}</definedName>
    <definedName name="qqqqqqqq" localSheetId="10" hidden="1">{TRUE,TRUE,-1.25,-15.5,484.5,276.75,FALSE,TRUE,TRUE,TRUE,0,1,1,300,1,1.96296296296296,1.15384615384615,4,TRUE,TRUE,3,TRUE,1,FALSE,75,"Swvu.Print_Todo.","ACwvu.Print_Todo.",#N/A,FALSE,FALSE,0,0,0,0,2,"","",FALSE,FALSE,TRUE,FALSE,1,#N/A,2,10,"=R1C1:R636C40",FALSE,#N/A,#N/A,FALSE,FALSE,FALSE,9,300,300,FALSE,TRUE,TRUE,TRUE,TRUE}</definedName>
    <definedName name="qqqqqqqq" hidden="1">{TRUE,TRUE,-1.25,-15.5,484.5,276.75,FALSE,TRUE,TRUE,TRUE,0,1,1,300,1,1.96296296296296,1.15384615384615,4,TRUE,TRUE,3,TRUE,1,FALSE,75,"Swvu.Print_Todo.","ACwvu.Print_Todo.",#N/A,FALSE,FALSE,0,0,0,0,2,"","",FALSE,FALSE,TRUE,FALSE,1,#N/A,2,10,"=R1C1:R636C40",FALSE,#N/A,#N/A,FALSE,FALSE,FALSE,9,300,300,FALSE,TRUE,TRUE,TRUE,TRUE}</definedName>
    <definedName name="qqqqqqqqq" localSheetId="10"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qqqqqqqqq"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ReportGroup" hidden="1">0</definedName>
    <definedName name="rtjrjrjrjjr"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rtjrjrjrjjr"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SAPBEXdnldView" hidden="1">"46DLI4IEATZO1HG86G0GFHD2P"</definedName>
    <definedName name="SAPBEXhrIndnt" hidden="1">1</definedName>
    <definedName name="SAPBEXrevision" hidden="1">1</definedName>
    <definedName name="SAPBEXsysID" hidden="1">"SEP"</definedName>
    <definedName name="SAPBEXwbID" hidden="1">"41B4BP4K3LS4CP46AGMMP6TF8"</definedName>
    <definedName name="sc" localSheetId="10" hidden="1">{#N/A,#N/A,TRUE,"ICMAN96 (1)"}</definedName>
    <definedName name="sc" hidden="1">{#N/A,#N/A,TRUE,"ICMAN96 (1)"}</definedName>
    <definedName name="sdgfwyhewrheh"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sdgfwyhewrheh"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sdsdf" localSheetId="10" hidden="1">{"'Quadro'!$A$4:$BG$78"}</definedName>
    <definedName name="sdsdf" hidden="1">{"'Quadro'!$A$4:$BG$78"}</definedName>
    <definedName name="sencount" hidden="1">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19.66</definedName>
    <definedName name="ss"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ss"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SSS" localSheetId="5" hidden="1">{"2004",#N/A,FALSE,"DEFINITIVA CASH";"2005",#N/A,FALSE,"DEFINITIVA CASH";"2006",#N/A,FALSE,"DEFINITIVA CASH"}</definedName>
    <definedName name="SSS" localSheetId="10" hidden="1">{"2004",#N/A,FALSE,"DEFINITIVA CASH";"2005",#N/A,FALSE,"DEFINITIVA CASH";"2006",#N/A,FALSE,"DEFINITIVA CASH"}</definedName>
    <definedName name="sss">'[5] URBANO 2ª PARTE'!#REF!</definedName>
    <definedName name="SSSS" localSheetId="10" hidden="1">{"defnitiva1",#N/A,FALSE,"RESUMO DA DÍVIDA";"defitiva2",#N/A,FALSE,"RESUMO DA DÍVIDA";"defitiva3",#N/A,FALSE,"RESUMO DA DÍVIDA"}</definedName>
    <definedName name="SSSS" hidden="1">{"defnitiva1",#N/A,FALSE,"RESUMO DA DÍVIDA";"defitiva2",#N/A,FALSE,"RESUMO DA DÍVIDA";"defitiva3",#N/A,FALSE,"RESUMO DA DÍVIDA"}</definedName>
    <definedName name="tasa" localSheetId="10" hidden="1">{#N/A,#N/A,TRUE,"ICMAN96 (1)"}</definedName>
    <definedName name="tasa" hidden="1">{#N/A,#N/A,TRUE,"ICMAN96 (1)"}</definedName>
    <definedName name="TAXA" localSheetId="10">#REF!</definedName>
    <definedName name="TAXA">#REF!</definedName>
    <definedName name="temp"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temp"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TESTE" hidden="1">#N/A</definedName>
    <definedName name="TextRefCopyRangeCount" hidden="1">3</definedName>
    <definedName name="_xlnm.Print_Titles" localSheetId="19">ANTP_Resumo!$4:$4</definedName>
    <definedName name="_xlnm.Print_Titles" localSheetId="1">'Ent_Plano Renovação Frota'!$4:$5</definedName>
    <definedName name="_xlnm.Print_Titles" localSheetId="8">FC_CAPEX!$A:$B,FC_CAPEX!$3:$5</definedName>
    <definedName name="vall" localSheetId="10" hidden="1">{"defnitiva1",#N/A,FALSE,"RESUMO DA DÍVIDA";"defitiva2",#N/A,FALSE,"RESUMO DA DÍVIDA";"defitiva3",#N/A,FALSE,"RESUMO DA DÍVIDA"}</definedName>
    <definedName name="vall" hidden="1">{"defnitiva1",#N/A,FALSE,"RESUMO DA DÍVIDA";"defitiva2",#N/A,FALSE,"RESUMO DA DÍVIDA";"defitiva3",#N/A,FALSE,"RESUMO DA DÍVIDA"}</definedName>
    <definedName name="vvv" localSheetId="10" hidden="1">{"2004",#N/A,FALSE,"DEFINITIVA CASH";"2005",#N/A,FALSE,"DEFINITIVA CASH";"2006",#N/A,FALSE,"DEFINITIVA CASH"}</definedName>
    <definedName name="vvv" hidden="1">{"2004",#N/A,FALSE,"DEFINITIVA CASH";"2005",#N/A,FALSE,"DEFINITIVA CASH";"2006",#N/A,FALSE,"DEFINITIVA CASH"}</definedName>
    <definedName name="vvvv" localSheetId="10" hidden="1">{"2004",#N/A,FALSE,"DEFINITIVA CASH";"2005",#N/A,FALSE,"DEFINITIVA CASH";"2006",#N/A,FALSE,"DEFINITIVA CASH"}</definedName>
    <definedName name="vvvv" hidden="1">{"2004",#N/A,FALSE,"DEFINITIVA CASH";"2005",#N/A,FALSE,"DEFINITIVA CASH";"2006",#N/A,FALSE,"DEFINITIVA CASH"}</definedName>
    <definedName name="wrn.ACIARIA." localSheetId="10" hidden="1">{#N/A,#N/A,FALSE,"DIPVE"}</definedName>
    <definedName name="wrn.ACIARIA." hidden="1">{#N/A,#N/A,FALSE,"DIPVE"}</definedName>
    <definedName name="wrn.ICMAN96." localSheetId="10" hidden="1">{#N/A,#N/A,TRUE,"ICMAN96 (1)"}</definedName>
    <definedName name="wrn.ICMAN96." hidden="1">{#N/A,#N/A,TRUE,"ICMAN96 (1)"}</definedName>
    <definedName name="wrn.impresión."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wrn.impresión."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wrn.impresión.1" localSheetId="10"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wrn.impresión.1" hidden="1">{"page21",#N/A,FALSE,"TranSideco";"page20",#N/A,FALSE,"Coven.";"page19",#N/A,FALSE,"Comparac.";"page18",#N/A,FALSE,"Comparac.";"page17",#N/A,FALSE,"EvolDotac.";"page16",#N/A,FALSE,"Eco-Fin";"page15",#N/A,FALSE,"Eco-Fin";"page14",#N/A,FALSE,"Inversiones";"page13",#N/A,FALSE,"Inversiones";"page12",#N/A,FALSE,"Eco-Fin";"page11",#N/A,FALSE,"Eco-Fin";"page10",#N/A,FALSE,"Eco-Fin";"page9",#N/A,FALSE,"Eco-Fin";"page8",#N/A,FALSE,"Eco-Fin";"page7",#N/A,FALSE,"Eco-Fin";"page6",#N/A,FALSE,"Eco-Fin";"pageventas4",#N/A,FALSE,"Eco-Fin";"pageventas3",#N/A,FALSE,"Eco-Fin";"page5",#N/A,FALSE,"Eco-Fin";"page4",#N/A,FALSE,"Eco-Fin";"page3",#N/A,FALSE,"Eco-Fin";"page2",#N/A,FALSE,"Eco-Fin";"page1",#N/A,FALSE,"Eco-Fin";"cara1",#N/A,FALSE,"Carátula"}</definedName>
    <definedName name="wrn.Model."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rn.Model."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rn.Resumo." localSheetId="10" hidden="1">{"2004",#N/A,FALSE,"DEFINITIVA CASH";"2005",#N/A,FALSE,"DEFINITIVA CASH";"2006",#N/A,FALSE,"DEFINITIVA CASH"}</definedName>
    <definedName name="wrn.Resumo." hidden="1">{"2004",#N/A,FALSE,"DEFINITIVA CASH";"2005",#N/A,FALSE,"DEFINITIVA CASH";"2006",#N/A,FALSE,"DEFINITIVA CASH"}</definedName>
    <definedName name="wrn.Resumo._.Divida." localSheetId="10" hidden="1">{"defnitiva1",#N/A,FALSE,"RESUMO DA DÍVIDA";"defitiva2",#N/A,FALSE,"RESUMO DA DÍVIDA";"defitiva3",#N/A,FALSE,"RESUMO DA DÍVIDA"}</definedName>
    <definedName name="wrn.Resumo._.Divida." hidden="1">{"defnitiva1",#N/A,FALSE,"RESUMO DA DÍVIDA";"defitiva2",#N/A,FALSE,"RESUMO DA DÍVIDA";"defitiva3",#N/A,FALSE,"RESUMO DA DÍVIDA"}</definedName>
    <definedName name="wrn.VENTAS." localSheetId="10" hidden="1">{"VENTAS1",#N/A,FALSE,"VENTAS";"VENTAS2",#N/A,FALSE,"VENTAS";"VENTAS3",#N/A,FALSE,"VENTAS";"VENTAS4",#N/A,FALSE,"VENTAS";"VENTAS5",#N/A,FALSE,"VENTAS";"VENTAS6",#N/A,FALSE,"VENTAS";"VENTAS7",#N/A,FALSE,"VENTAS";"VENTAS8",#N/A,FALSE,"VENTAS"}</definedName>
    <definedName name="wrn.VENTAS." hidden="1">{"VENTAS1",#N/A,FALSE,"VENTAS";"VENTAS2",#N/A,FALSE,"VENTAS";"VENTAS3",#N/A,FALSE,"VENTAS";"VENTAS4",#N/A,FALSE,"VENTAS";"VENTAS5",#N/A,FALSE,"VENTAS";"VENTAS6",#N/A,FALSE,"VENTAS";"VENTAS7",#N/A,FALSE,"VENTAS";"VENTAS8",#N/A,FALSE,"VENTAS"}</definedName>
    <definedName name="wrn.ventas.1" localSheetId="10" hidden="1">{"VENTAS1",#N/A,FALSE,"VENTAS";"VENTAS2",#N/A,FALSE,"VENTAS";"VENTAS3",#N/A,FALSE,"VENTAS";"VENTAS4",#N/A,FALSE,"VENTAS";"VENTAS5",#N/A,FALSE,"VENTAS";"VENTAS6",#N/A,FALSE,"VENTAS";"VENTAS7",#N/A,FALSE,"VENTAS";"VENTAS8",#N/A,FALSE,"VENTAS"}</definedName>
    <definedName name="wrn.ventas.1" hidden="1">{"VENTAS1",#N/A,FALSE,"VENTAS";"VENTAS2",#N/A,FALSE,"VENTAS";"VENTAS3",#N/A,FALSE,"VENTAS";"VENTAS4",#N/A,FALSE,"VENTAS";"VENTAS5",#N/A,FALSE,"VENTAS";"VENTAS6",#N/A,FALSE,"VENTAS";"VENTAS7",#N/A,FALSE,"VENTAS";"VENTAS8",#N/A,FALSE,"VENTAS"}</definedName>
    <definedName name="ws" localSheetId="10" hidden="1">{#N/A,#N/A,TRUE,"ICMAN96 (1)"}</definedName>
    <definedName name="ws" hidden="1">{#N/A,#N/A,TRUE,"ICMAN96 (1)"}</definedName>
    <definedName name="wvu.Print_Todo." localSheetId="10" hidden="1">{TRUE,TRUE,-1.25,-15.5,484.5,276.75,FALSE,TRUE,TRUE,TRUE,0,1,1,300,1,1.96296296296296,1.15384615384615,4,TRUE,TRUE,3,TRUE,1,FALSE,75,"Swvu.Print_Todo.","ACwvu.Print_Todo.",#N/A,FALSE,FALSE,0,0,0,0,2,"","",FALSE,FALSE,TRUE,FALSE,1,#N/A,2,10,"=R1C1:R636C40",FALSE,#N/A,#N/A,FALSE,FALSE,FALSE,9,300,300,FALSE,TRUE,TRUE,TRUE,TRUE}</definedName>
    <definedName name="wvu.Print_Todo." hidden="1">{TRUE,TRUE,-1.25,-15.5,484.5,276.75,FALSE,TRUE,TRUE,TRUE,0,1,1,300,1,1.96296296296296,1.15384615384615,4,TRUE,TRUE,3,TRUE,1,FALSE,75,"Swvu.Print_Todo.","ACwvu.Print_Todo.",#N/A,FALSE,FALSE,0,0,0,0,2,"","",FALSE,FALSE,TRUE,FALSE,1,#N/A,2,10,"=R1C1:R636C40",FALSE,#N/A,#N/A,FALSE,FALSE,FALSE,9,300,300,FALSE,TRUE,TRUE,TRUE,TRUE}</definedName>
    <definedName name="wvu.Socios._.95." localSheetId="10"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wvu.Socios._.95." hidden="1">{TRUE,TRUE,-1.25,-15.5,484.5,276.75,FALSE,TRUE,TRUE,TRUE,0,1,#N/A,1,#N/A,6.625,18.0588235294118,1,FALSE,FALSE,3,TRUE,1,FALSE,100,"Swvu.Socios._.95.","ACwvu.Socios._.95.",#N/A,FALSE,FALSE,0.78740157480315,0.78740157480315,0.984251968503937,0.984251968503937,2,"","&amp;L&amp;F&amp;C&amp;A&amp;R&amp;D",TRUE,FALSE,FALSE,FALSE,1,#N/A,1,1,"=R1C1:R14C15",FALSE,#N/A,"Cwvu.Socios._.95.",FALSE,FALSE,FALSE,9,65532,65532,FALSE,FALSE,TRUE,TRUE,TRUE}</definedName>
    <definedName name="www"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ww"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wwww"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wwww"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wwwww" localSheetId="10"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wwwwww" hidden="1">{#N/A,#N/A,TRUE,"TOC";#N/A,#N/A,TRUE,"Inputs";#N/A,#N/A,TRUE,"Debt";#N/A,#N/A,TRUE,"CashFlo";#N/A,#N/A,TRUE,"Prices";#N/A,#N/A,TRUE,"Operations";#N/A,#N/A,TRUE,"GAAP Income";#N/A,#N/A,TRUE,"GAAP Balance";#N/A,#N/A,TRUE,"D&amp;A";#N/A,#N/A,TRUE,"Revolving Working Capital";#N/A,#N/A,TRUE,"Work.Cap.";#N/A,#N/A,TRUE,"Tax Inputs";#N/A,#N/A,TRUE,"Ven Cash Flow";#N/A,#N/A,TRUE,"Ven Income Tax";#N/A,#N/A,TRUE,"Ven Vat";#N/A,#N/A,TRUE,"Ven Balance"}</definedName>
    <definedName name="x" localSheetId="10" hidden="1">{"'REL CUSTODIF'!$B$1:$H$72"}</definedName>
    <definedName name="x" hidden="1">{"'REL CUSTODIF'!$B$1:$H$72"}</definedName>
    <definedName name="XREF_COLUMN_1" localSheetId="10" hidden="1">#REF!</definedName>
    <definedName name="XREF_COLUMN_1" hidden="1">#REF!</definedName>
    <definedName name="XREF_COLUMN_2" localSheetId="10" hidden="1">#REF!</definedName>
    <definedName name="XREF_COLUMN_2" hidden="1">#REF!</definedName>
    <definedName name="XREF_COLUMN_3" localSheetId="10" hidden="1">#REF!</definedName>
    <definedName name="XREF_COLUMN_3" hidden="1">#REF!</definedName>
    <definedName name="XREF_COLUMN_4" hidden="1">#REF!</definedName>
    <definedName name="XREF_COLUMN_5" hidden="1">'[7]PPC Mútuo Dez.03'!$T$1:$T$65536</definedName>
    <definedName name="XRefActiveRow" localSheetId="10" hidden="1">#REF!</definedName>
    <definedName name="XRefActiveRow" hidden="1">#REF!</definedName>
    <definedName name="XRefColumnsCount" hidden="1">1</definedName>
    <definedName name="XRefCopy1" localSheetId="10" hidden="1">#REF!</definedName>
    <definedName name="XRefCopy1" hidden="1">#REF!</definedName>
    <definedName name="XRefCopy1Row" localSheetId="10" hidden="1">#REF!</definedName>
    <definedName name="XRefCopy1Row" hidden="1">#REF!</definedName>
    <definedName name="XRefCopy2" hidden="1">[7]Lead!$F$15</definedName>
    <definedName name="XRefCopy2Row" hidden="1">[7]XREF!$A$2:$IV$2</definedName>
    <definedName name="XRefCopy4" hidden="1">'[7]PPC Mútuo Dez.03'!$S$11</definedName>
    <definedName name="XRefCopy4Row" hidden="1">[7]XREF!$A$3:$IV$3</definedName>
    <definedName name="XRefCopy5" hidden="1">'[7]PPC Mútuo Dez.03'!$S$30</definedName>
    <definedName name="XRefCopy6" hidden="1">'[7]PPC Mútuo Dez.03'!$S$79</definedName>
    <definedName name="XRefCopy6Row" hidden="1">[7]XREF!$A$4:$IV$4</definedName>
    <definedName name="XRefCopy7" hidden="1">'[7]PPC Mútuo Dez.03'!$S$131</definedName>
    <definedName name="XRefCopy7Row" hidden="1">[7]XREF!$A$5:$IV$5</definedName>
    <definedName name="XRefCopy8" hidden="1">'[7]PPC Mútuo Dez.03'!$S$47</definedName>
    <definedName name="XRefCopy8Row" hidden="1">[7]XREF!$A$6:$IV$6</definedName>
    <definedName name="XRefCopyRangeCount" hidden="1">12</definedName>
    <definedName name="XRefPaste1" localSheetId="10" hidden="1">#REF!</definedName>
    <definedName name="XRefPaste1" hidden="1">#REF!</definedName>
    <definedName name="XRefPaste1Row" localSheetId="10" hidden="1">#REF!</definedName>
    <definedName name="XRefPaste1Row" hidden="1">#REF!</definedName>
    <definedName name="XRefPaste2" localSheetId="10"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RangeCount" hidden="1">1</definedName>
    <definedName name="XX" localSheetId="10" hidden="1">{#N/A,#N/A,TRUE,"ICMAN96 (1)"}</definedName>
    <definedName name="XX" hidden="1">{#N/A,#N/A,TRUE,"ICMAN96 (1)"}</definedName>
    <definedName name="xxx" localSheetId="10" hidden="1">{#N/A,#N/A,TRUE,"ICMAN96 (1)"}</definedName>
    <definedName name="xxx" hidden="1">{#N/A,#N/A,TRUE,"ICMAN96 (1)"}</definedName>
    <definedName name="xxxx" localSheetId="10" hidden="1">{#N/A,#N/A,TRUE,"ICMAN96 (1)"}</definedName>
    <definedName name="xxxx" hidden="1">{#N/A,#N/A,TRUE,"ICMAN96 (1)"}</definedName>
    <definedName name="xxxxx" localSheetId="10" hidden="1">{#N/A,#N/A,TRUE,"ICMAN96 (1)"}</definedName>
    <definedName name="xxxxx" hidden="1">{#N/A,#N/A,TRUE,"ICMAN96 (1)"}</definedName>
    <definedName name="xxxxxx" localSheetId="10" hidden="1">{#N/A,#N/A,TRUE,"ICMAN96 (1)"}</definedName>
    <definedName name="xxxxxx" hidden="1">{#N/A,#N/A,TRUE,"ICMAN96 (1)"}</definedName>
    <definedName name="xxxxxxx" localSheetId="10" hidden="1">{#N/A,#N/A,TRUE,"ICMAN96 (1)"}</definedName>
    <definedName name="xxxxxxx" hidden="1">{#N/A,#N/A,TRUE,"ICMAN96 (1)"}</definedName>
    <definedName name="xxxxxxxxx" localSheetId="10" hidden="1">{#N/A,#N/A,TRUE,"ICMAN96 (1)"}</definedName>
    <definedName name="xxxxxxxxx" hidden="1">{#N/A,#N/A,TRUE,"ICMAN96 (1)"}</definedName>
    <definedName name="xxxxxxxxxx" localSheetId="10" hidden="1">{#N/A,#N/A,TRUE,"ICMAN96 (1)"}</definedName>
    <definedName name="xxxxxxxxxx" hidden="1">{#N/A,#N/A,TRUE,"ICMAN96 (1)"}</definedName>
    <definedName name="YY" localSheetId="10" hidden="1">{#N/A,#N/A,TRUE,"ICMAN96 (1)"}</definedName>
    <definedName name="YY" hidden="1">{#N/A,#N/A,TRUE,"ICMAN96 (1)"}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80" l="1"/>
  <c r="D31" i="80"/>
  <c r="D49" i="80"/>
  <c r="B9" i="76"/>
  <c r="B10" i="76"/>
  <c r="B11" i="76"/>
  <c r="B8" i="76"/>
  <c r="E10" i="78"/>
  <c r="D10" i="78"/>
  <c r="T16" i="78"/>
  <c r="U16" i="78"/>
  <c r="V16" i="78"/>
  <c r="W16" i="78"/>
  <c r="X16" i="78"/>
  <c r="Y16" i="78"/>
  <c r="Z16" i="78"/>
  <c r="AA16" i="78"/>
  <c r="AB16" i="78"/>
  <c r="AC16" i="78"/>
  <c r="F17" i="78"/>
  <c r="G17" i="78"/>
  <c r="H17" i="78"/>
  <c r="I17" i="78"/>
  <c r="J17" i="78"/>
  <c r="K17" i="78"/>
  <c r="L17" i="78"/>
  <c r="M17" i="78"/>
  <c r="N17" i="78"/>
  <c r="O17" i="78"/>
  <c r="P17" i="78"/>
  <c r="Q17" i="78"/>
  <c r="R17" i="78"/>
  <c r="T17" i="78"/>
  <c r="U17" i="78"/>
  <c r="V17" i="78"/>
  <c r="W17" i="78"/>
  <c r="X17" i="78"/>
  <c r="Y17" i="78"/>
  <c r="Z17" i="78"/>
  <c r="AA17" i="78"/>
  <c r="AB17" i="78"/>
  <c r="AC17" i="78"/>
  <c r="F18" i="78"/>
  <c r="G18" i="78"/>
  <c r="H18" i="78"/>
  <c r="I18" i="78"/>
  <c r="J18" i="78"/>
  <c r="K18" i="78"/>
  <c r="L18" i="78"/>
  <c r="M18" i="78"/>
  <c r="N18" i="78"/>
  <c r="O18" i="78"/>
  <c r="P18" i="78"/>
  <c r="Q18" i="78"/>
  <c r="R18" i="78"/>
  <c r="T18" i="78"/>
  <c r="U18" i="78"/>
  <c r="V18" i="78"/>
  <c r="W18" i="78"/>
  <c r="X18" i="78"/>
  <c r="Y18" i="78"/>
  <c r="Z18" i="78"/>
  <c r="AA18" i="78"/>
  <c r="AB18" i="78"/>
  <c r="AC18" i="78"/>
  <c r="F19" i="78"/>
  <c r="G19" i="78"/>
  <c r="H19" i="78"/>
  <c r="I19" i="78"/>
  <c r="J19" i="78"/>
  <c r="K19" i="78"/>
  <c r="L19" i="78"/>
  <c r="M19" i="78"/>
  <c r="N19" i="78"/>
  <c r="O19" i="78"/>
  <c r="P19" i="78"/>
  <c r="Q19" i="78"/>
  <c r="R19" i="78"/>
  <c r="S19" i="78"/>
  <c r="T19" i="78"/>
  <c r="U19" i="78"/>
  <c r="V19" i="78"/>
  <c r="W19" i="78"/>
  <c r="X19" i="78"/>
  <c r="Y19" i="78"/>
  <c r="Z19" i="78"/>
  <c r="AA19" i="78"/>
  <c r="AB19" i="78"/>
  <c r="AC19" i="78"/>
  <c r="F20" i="78"/>
  <c r="G20" i="78"/>
  <c r="H20" i="78"/>
  <c r="I20" i="78"/>
  <c r="J20" i="78"/>
  <c r="K20" i="78"/>
  <c r="L20" i="78"/>
  <c r="M20" i="78"/>
  <c r="N20" i="78"/>
  <c r="O20" i="78"/>
  <c r="P20" i="78"/>
  <c r="Q20" i="78"/>
  <c r="R20" i="78"/>
  <c r="S20" i="78"/>
  <c r="T20" i="78"/>
  <c r="U20" i="78"/>
  <c r="V20" i="78"/>
  <c r="W20" i="78"/>
  <c r="X20" i="78"/>
  <c r="Y20" i="78"/>
  <c r="Z20" i="78"/>
  <c r="AA20" i="78"/>
  <c r="AB20" i="78"/>
  <c r="AC20" i="78"/>
  <c r="F21" i="78"/>
  <c r="G21" i="78"/>
  <c r="H21" i="78"/>
  <c r="I21" i="78"/>
  <c r="J21" i="78"/>
  <c r="K21" i="78"/>
  <c r="L21" i="78"/>
  <c r="M21" i="78"/>
  <c r="N21" i="78"/>
  <c r="O21" i="78"/>
  <c r="P21" i="78"/>
  <c r="Q21" i="78"/>
  <c r="R21" i="78"/>
  <c r="S21" i="78"/>
  <c r="T21" i="78"/>
  <c r="U21" i="78"/>
  <c r="V21" i="78"/>
  <c r="W21" i="78"/>
  <c r="X21" i="78"/>
  <c r="Y21" i="78"/>
  <c r="Z21" i="78"/>
  <c r="AA21" i="78"/>
  <c r="AB21" i="78"/>
  <c r="AC21" i="78"/>
  <c r="E21" i="78"/>
  <c r="E20" i="78"/>
  <c r="E19" i="78"/>
  <c r="E18" i="78"/>
  <c r="E17" i="78"/>
  <c r="D16" i="78"/>
  <c r="G10" i="78"/>
  <c r="S10" i="78"/>
  <c r="T10" i="78"/>
  <c r="U10" i="78"/>
  <c r="V10" i="78"/>
  <c r="W10" i="78"/>
  <c r="X10" i="78"/>
  <c r="Y10" i="78"/>
  <c r="Z10" i="78"/>
  <c r="AA10" i="78"/>
  <c r="AB10" i="78"/>
  <c r="AC10" i="78"/>
  <c r="B14" i="73" l="1"/>
  <c r="B6" i="79" s="1"/>
  <c r="D19" i="80"/>
  <c r="H5" i="80"/>
  <c r="D29" i="80" l="1"/>
  <c r="D3" i="76"/>
  <c r="E3" i="76"/>
  <c r="F3" i="76"/>
  <c r="G3" i="76"/>
  <c r="H3" i="76"/>
  <c r="I3" i="76"/>
  <c r="J3" i="76"/>
  <c r="K3" i="76"/>
  <c r="L3" i="76"/>
  <c r="M3" i="76"/>
  <c r="N3" i="76"/>
  <c r="O3" i="76"/>
  <c r="P3" i="76"/>
  <c r="Q3" i="76"/>
  <c r="R3" i="76"/>
  <c r="F70" i="40"/>
  <c r="F3" i="72"/>
  <c r="B79" i="40" l="1"/>
  <c r="D102" i="66" l="1"/>
  <c r="D74" i="66" l="1"/>
  <c r="D73" i="66"/>
  <c r="D41" i="80" l="1"/>
  <c r="B3" i="80" l="1"/>
  <c r="F6" i="80"/>
  <c r="E6" i="80"/>
  <c r="D6" i="80"/>
  <c r="G5" i="80"/>
  <c r="F5" i="80"/>
  <c r="E5" i="80"/>
  <c r="D5" i="80"/>
  <c r="C6" i="80"/>
  <c r="C5" i="80"/>
  <c r="H6" i="80" l="1"/>
  <c r="H7" i="80"/>
  <c r="B80" i="40"/>
  <c r="D152" i="66" l="1"/>
  <c r="D151" i="66"/>
  <c r="D143" i="66"/>
  <c r="D137" i="66"/>
  <c r="D135" i="66"/>
  <c r="D130" i="66"/>
  <c r="D129" i="66"/>
  <c r="D120" i="66"/>
  <c r="D119" i="66"/>
  <c r="C7" i="80" l="1"/>
  <c r="B4" i="73" l="1"/>
  <c r="D40" i="74"/>
  <c r="AT13" i="72" l="1"/>
  <c r="AT14" i="72"/>
  <c r="AT15" i="72"/>
  <c r="AT16" i="72"/>
  <c r="AT17" i="72"/>
  <c r="AT18" i="72"/>
  <c r="AT19" i="72"/>
  <c r="AT20" i="72"/>
  <c r="AT21" i="72"/>
  <c r="AT22" i="72"/>
  <c r="AT23" i="72"/>
  <c r="AT24" i="72"/>
  <c r="AT12" i="72"/>
  <c r="AL13" i="72"/>
  <c r="AL14" i="72"/>
  <c r="AL15" i="72"/>
  <c r="AL16" i="72"/>
  <c r="AL17" i="72"/>
  <c r="AL18" i="72"/>
  <c r="AL19" i="72"/>
  <c r="AL20" i="72"/>
  <c r="AL21" i="72"/>
  <c r="AL22" i="72"/>
  <c r="AL23" i="72"/>
  <c r="AL24" i="72"/>
  <c r="AL12" i="72"/>
  <c r="AD22" i="72"/>
  <c r="AD23" i="72"/>
  <c r="AD24" i="72"/>
  <c r="AD13" i="72"/>
  <c r="AD14" i="72"/>
  <c r="AD15" i="72"/>
  <c r="AD16" i="72"/>
  <c r="AD17" i="72"/>
  <c r="AD18" i="72"/>
  <c r="AD19" i="72"/>
  <c r="AD20" i="72"/>
  <c r="AD21" i="72"/>
  <c r="AD12" i="72"/>
  <c r="F24" i="5"/>
  <c r="AX7" i="72" l="1"/>
  <c r="AP7" i="72"/>
  <c r="AH7" i="72"/>
  <c r="G8" i="72"/>
  <c r="H8" i="72"/>
  <c r="G9" i="72"/>
  <c r="H9" i="72"/>
  <c r="G10" i="72"/>
  <c r="H10" i="72"/>
  <c r="G11" i="72"/>
  <c r="H11" i="72"/>
  <c r="G12" i="72"/>
  <c r="H12" i="72"/>
  <c r="G13" i="72"/>
  <c r="H13" i="72"/>
  <c r="G14" i="72"/>
  <c r="H14" i="72"/>
  <c r="G15" i="72"/>
  <c r="H15" i="72"/>
  <c r="G16" i="72"/>
  <c r="H16" i="72"/>
  <c r="G17" i="72"/>
  <c r="H17" i="72"/>
  <c r="G18" i="72"/>
  <c r="H18" i="72"/>
  <c r="F9" i="72"/>
  <c r="F10" i="72"/>
  <c r="F11" i="72"/>
  <c r="F12" i="72"/>
  <c r="F13" i="72"/>
  <c r="F14" i="72"/>
  <c r="F15" i="72"/>
  <c r="F16" i="72"/>
  <c r="F17" i="72"/>
  <c r="F18" i="72"/>
  <c r="F8" i="72"/>
  <c r="D30" i="80" l="1"/>
  <c r="D28" i="80" s="1"/>
  <c r="E21" i="80"/>
  <c r="E20" i="80"/>
  <c r="E19" i="80"/>
  <c r="C13" i="80"/>
  <c r="E52" i="80"/>
  <c r="D51" i="80"/>
  <c r="D52" i="80" s="1"/>
  <c r="F7" i="80"/>
  <c r="E7" i="80"/>
  <c r="D7" i="80"/>
  <c r="D4" i="80"/>
  <c r="E4" i="80" s="1"/>
  <c r="F4" i="80" s="1"/>
  <c r="G4" i="80" s="1"/>
  <c r="B23" i="78"/>
  <c r="C8" i="78"/>
  <c r="C7" i="78"/>
  <c r="AC13" i="78"/>
  <c r="AB13" i="78"/>
  <c r="Z15" i="78"/>
  <c r="Y13" i="78"/>
  <c r="X13" i="78"/>
  <c r="U13" i="78"/>
  <c r="T13" i="78"/>
  <c r="R15" i="78"/>
  <c r="Q13" i="78"/>
  <c r="P13" i="78"/>
  <c r="N15" i="78"/>
  <c r="M13" i="78"/>
  <c r="L13" i="78"/>
  <c r="J15" i="78"/>
  <c r="I13" i="78"/>
  <c r="H13" i="78"/>
  <c r="F15" i="78"/>
  <c r="E13" i="78"/>
  <c r="AA4" i="77"/>
  <c r="Z4" i="77"/>
  <c r="Y4" i="77"/>
  <c r="X4" i="77"/>
  <c r="W4" i="77"/>
  <c r="V4" i="77"/>
  <c r="U4" i="77"/>
  <c r="T4" i="77"/>
  <c r="S4" i="77"/>
  <c r="R4" i="77"/>
  <c r="Q4" i="77"/>
  <c r="P4" i="77"/>
  <c r="O4" i="77"/>
  <c r="N4" i="77"/>
  <c r="M4" i="77"/>
  <c r="L4" i="77"/>
  <c r="K4" i="77"/>
  <c r="J4" i="77"/>
  <c r="I4" i="77"/>
  <c r="H4" i="77"/>
  <c r="G4" i="77"/>
  <c r="F4" i="77"/>
  <c r="E4" i="77"/>
  <c r="D4" i="77"/>
  <c r="C4" i="77"/>
  <c r="AB3" i="76"/>
  <c r="AA3" i="76"/>
  <c r="Z3" i="76"/>
  <c r="Y3" i="76"/>
  <c r="X3" i="76"/>
  <c r="W3" i="76"/>
  <c r="V3" i="76"/>
  <c r="U3" i="76"/>
  <c r="T3" i="76"/>
  <c r="S3" i="76"/>
  <c r="AA3" i="75"/>
  <c r="Z3" i="75"/>
  <c r="Y3" i="75"/>
  <c r="X3" i="75"/>
  <c r="W3" i="75"/>
  <c r="V3" i="75"/>
  <c r="U3" i="75"/>
  <c r="T3" i="75"/>
  <c r="S3" i="75"/>
  <c r="R3" i="75"/>
  <c r="Q3" i="75"/>
  <c r="P3" i="75"/>
  <c r="O3" i="75"/>
  <c r="N3" i="75"/>
  <c r="M3" i="75"/>
  <c r="L3" i="75"/>
  <c r="K3" i="75"/>
  <c r="J3" i="75"/>
  <c r="I3" i="75"/>
  <c r="H3" i="75"/>
  <c r="G3" i="75"/>
  <c r="F3" i="75"/>
  <c r="E3" i="75"/>
  <c r="D3" i="75"/>
  <c r="C3" i="75"/>
  <c r="Z40" i="74"/>
  <c r="AC39" i="74"/>
  <c r="AB39" i="74"/>
  <c r="AA39" i="74"/>
  <c r="Z39" i="74"/>
  <c r="Y39" i="74"/>
  <c r="X39" i="74"/>
  <c r="W39" i="74"/>
  <c r="V39" i="74"/>
  <c r="U39" i="74"/>
  <c r="T39" i="74"/>
  <c r="S39" i="74"/>
  <c r="R39" i="74"/>
  <c r="Q39" i="74"/>
  <c r="P39" i="74"/>
  <c r="O39" i="74"/>
  <c r="N39" i="74"/>
  <c r="M39" i="74"/>
  <c r="L39" i="74"/>
  <c r="K39" i="74"/>
  <c r="J39" i="74"/>
  <c r="I39" i="74"/>
  <c r="H39" i="74"/>
  <c r="G39" i="74"/>
  <c r="F39" i="74"/>
  <c r="E39" i="74"/>
  <c r="AC38" i="74"/>
  <c r="AB38" i="74"/>
  <c r="AA38" i="74"/>
  <c r="Z38" i="74"/>
  <c r="Y38" i="74"/>
  <c r="X38" i="74"/>
  <c r="W38" i="74"/>
  <c r="V38" i="74"/>
  <c r="U38" i="74"/>
  <c r="T38" i="74"/>
  <c r="S38" i="74"/>
  <c r="R38" i="74"/>
  <c r="Q38" i="74"/>
  <c r="P38" i="74"/>
  <c r="O38" i="74"/>
  <c r="N38" i="74"/>
  <c r="M38" i="74"/>
  <c r="L38" i="74"/>
  <c r="K38" i="74"/>
  <c r="J38" i="74"/>
  <c r="I38" i="74"/>
  <c r="H38" i="74"/>
  <c r="G38" i="74"/>
  <c r="F38" i="74"/>
  <c r="E38" i="74"/>
  <c r="D38" i="74"/>
  <c r="AC34" i="74"/>
  <c r="AB34" i="74"/>
  <c r="AA34" i="74"/>
  <c r="Z34" i="74"/>
  <c r="Y34" i="74"/>
  <c r="X34" i="74"/>
  <c r="W34" i="74"/>
  <c r="V34" i="74"/>
  <c r="U34" i="74"/>
  <c r="T34" i="74"/>
  <c r="S34" i="74"/>
  <c r="R34" i="74"/>
  <c r="Q34" i="74"/>
  <c r="P34" i="74"/>
  <c r="O34" i="74"/>
  <c r="N34" i="74"/>
  <c r="M34" i="74"/>
  <c r="L34" i="74"/>
  <c r="K34" i="74"/>
  <c r="J34" i="74"/>
  <c r="I34" i="74"/>
  <c r="H34" i="74"/>
  <c r="G34" i="74"/>
  <c r="F34" i="74"/>
  <c r="E34" i="74"/>
  <c r="D34" i="74"/>
  <c r="AC30" i="74"/>
  <c r="AB30" i="74"/>
  <c r="AA30" i="74"/>
  <c r="Z30" i="74"/>
  <c r="Y30" i="74"/>
  <c r="X30" i="74"/>
  <c r="W30" i="74"/>
  <c r="V30" i="74"/>
  <c r="U30" i="74"/>
  <c r="T30" i="74"/>
  <c r="S30" i="74"/>
  <c r="R30" i="74"/>
  <c r="Q30" i="74"/>
  <c r="P30" i="74"/>
  <c r="O30" i="74"/>
  <c r="N30" i="74"/>
  <c r="M30" i="74"/>
  <c r="L30" i="74"/>
  <c r="K30" i="74"/>
  <c r="J30" i="74"/>
  <c r="I30" i="74"/>
  <c r="H30" i="74"/>
  <c r="G30" i="74"/>
  <c r="F30" i="74"/>
  <c r="E30" i="74"/>
  <c r="D30" i="74"/>
  <c r="E26" i="74"/>
  <c r="F26" i="74" s="1"/>
  <c r="G26" i="74" s="1"/>
  <c r="H26" i="74" s="1"/>
  <c r="I26" i="74" s="1"/>
  <c r="J26" i="74" s="1"/>
  <c r="K26" i="74" s="1"/>
  <c r="L26" i="74" s="1"/>
  <c r="M26" i="74" s="1"/>
  <c r="N26" i="74" s="1"/>
  <c r="O26" i="74" s="1"/>
  <c r="P26" i="74" s="1"/>
  <c r="Q26" i="74" s="1"/>
  <c r="R26" i="74" s="1"/>
  <c r="S26" i="74" s="1"/>
  <c r="T26" i="74" s="1"/>
  <c r="U26" i="74" s="1"/>
  <c r="V26" i="74" s="1"/>
  <c r="W26" i="74" s="1"/>
  <c r="X26" i="74" s="1"/>
  <c r="Y26" i="74" s="1"/>
  <c r="Z26" i="74" s="1"/>
  <c r="AA26" i="74" s="1"/>
  <c r="AB26" i="74" s="1"/>
  <c r="AC26" i="74" s="1"/>
  <c r="E25" i="74"/>
  <c r="F25" i="74" s="1"/>
  <c r="G25" i="74" s="1"/>
  <c r="H25" i="74" s="1"/>
  <c r="I25" i="74" s="1"/>
  <c r="J25" i="74" s="1"/>
  <c r="K25" i="74" s="1"/>
  <c r="L25" i="74" s="1"/>
  <c r="M25" i="74" s="1"/>
  <c r="N25" i="74" s="1"/>
  <c r="O25" i="74" s="1"/>
  <c r="P25" i="74" s="1"/>
  <c r="Q25" i="74" s="1"/>
  <c r="R25" i="74" s="1"/>
  <c r="S25" i="74" s="1"/>
  <c r="T25" i="74" s="1"/>
  <c r="U25" i="74" s="1"/>
  <c r="V25" i="74" s="1"/>
  <c r="W25" i="74" s="1"/>
  <c r="X25" i="74" s="1"/>
  <c r="Y25" i="74" s="1"/>
  <c r="Z25" i="74" s="1"/>
  <c r="AA25" i="74" s="1"/>
  <c r="AB25" i="74" s="1"/>
  <c r="AC25" i="74" s="1"/>
  <c r="E24" i="74"/>
  <c r="F24" i="74" s="1"/>
  <c r="G24" i="74" s="1"/>
  <c r="H24" i="74" s="1"/>
  <c r="I24" i="74" s="1"/>
  <c r="J24" i="74" s="1"/>
  <c r="K24" i="74" s="1"/>
  <c r="L24" i="74" s="1"/>
  <c r="M24" i="74" s="1"/>
  <c r="N24" i="74" s="1"/>
  <c r="O24" i="74" s="1"/>
  <c r="P24" i="74" s="1"/>
  <c r="Q24" i="74" s="1"/>
  <c r="R24" i="74" s="1"/>
  <c r="S24" i="74" s="1"/>
  <c r="T24" i="74" s="1"/>
  <c r="U24" i="74" s="1"/>
  <c r="V24" i="74" s="1"/>
  <c r="W24" i="74" s="1"/>
  <c r="X24" i="74" s="1"/>
  <c r="Y24" i="74" s="1"/>
  <c r="Z24" i="74" s="1"/>
  <c r="AA24" i="74" s="1"/>
  <c r="AB24" i="74" s="1"/>
  <c r="AC24" i="74" s="1"/>
  <c r="E23" i="74"/>
  <c r="F23" i="74" s="1"/>
  <c r="G23" i="74" s="1"/>
  <c r="H23" i="74" s="1"/>
  <c r="I23" i="74" s="1"/>
  <c r="J23" i="74" s="1"/>
  <c r="K23" i="74" s="1"/>
  <c r="L23" i="74" s="1"/>
  <c r="M23" i="74" s="1"/>
  <c r="N23" i="74" s="1"/>
  <c r="O23" i="74" s="1"/>
  <c r="P23" i="74" s="1"/>
  <c r="Q23" i="74" s="1"/>
  <c r="R23" i="74" s="1"/>
  <c r="S23" i="74" s="1"/>
  <c r="T23" i="74" s="1"/>
  <c r="U23" i="74" s="1"/>
  <c r="V23" i="74" s="1"/>
  <c r="W23" i="74" s="1"/>
  <c r="X23" i="74" s="1"/>
  <c r="Y23" i="74" s="1"/>
  <c r="Z23" i="74" s="1"/>
  <c r="AA23" i="74" s="1"/>
  <c r="AB23" i="74" s="1"/>
  <c r="AC23" i="74" s="1"/>
  <c r="E22" i="74"/>
  <c r="F22" i="74" s="1"/>
  <c r="G22" i="74" s="1"/>
  <c r="H22" i="74" s="1"/>
  <c r="I22" i="74" s="1"/>
  <c r="J22" i="74" s="1"/>
  <c r="K22" i="74" s="1"/>
  <c r="L22" i="74" s="1"/>
  <c r="M22" i="74" s="1"/>
  <c r="N22" i="74" s="1"/>
  <c r="O22" i="74" s="1"/>
  <c r="P22" i="74" s="1"/>
  <c r="Q22" i="74" s="1"/>
  <c r="R22" i="74" s="1"/>
  <c r="S22" i="74" s="1"/>
  <c r="T22" i="74" s="1"/>
  <c r="U22" i="74" s="1"/>
  <c r="V22" i="74" s="1"/>
  <c r="W22" i="74" s="1"/>
  <c r="X22" i="74" s="1"/>
  <c r="Y22" i="74" s="1"/>
  <c r="Z22" i="74" s="1"/>
  <c r="AA22" i="74" s="1"/>
  <c r="AB22" i="74" s="1"/>
  <c r="AC22" i="74" s="1"/>
  <c r="AC20" i="74"/>
  <c r="AB20" i="74"/>
  <c r="AA20" i="74"/>
  <c r="Z20" i="74"/>
  <c r="Y20" i="74"/>
  <c r="X20" i="74"/>
  <c r="W20" i="74"/>
  <c r="V20" i="74"/>
  <c r="U20" i="74"/>
  <c r="T20" i="74"/>
  <c r="S20" i="74"/>
  <c r="R20" i="74"/>
  <c r="Q20" i="74"/>
  <c r="P20" i="74"/>
  <c r="O20" i="74"/>
  <c r="N20" i="74"/>
  <c r="M20" i="74"/>
  <c r="L20" i="74"/>
  <c r="K20" i="74"/>
  <c r="J20" i="74"/>
  <c r="I20" i="74"/>
  <c r="H20" i="74"/>
  <c r="G20" i="74"/>
  <c r="F20" i="74"/>
  <c r="E20" i="74"/>
  <c r="D20" i="74"/>
  <c r="H17" i="74"/>
  <c r="I17" i="74" s="1"/>
  <c r="J17" i="74" s="1"/>
  <c r="K17" i="74" s="1"/>
  <c r="L17" i="74" s="1"/>
  <c r="M17" i="74" s="1"/>
  <c r="N17" i="74" s="1"/>
  <c r="O17" i="74" s="1"/>
  <c r="P17" i="74" s="1"/>
  <c r="Q17" i="74" s="1"/>
  <c r="R17" i="74" s="1"/>
  <c r="S17" i="74" s="1"/>
  <c r="T17" i="74" s="1"/>
  <c r="U17" i="74" s="1"/>
  <c r="V17" i="74" s="1"/>
  <c r="W17" i="74" s="1"/>
  <c r="X17" i="74" s="1"/>
  <c r="Y17" i="74" s="1"/>
  <c r="Z17" i="74" s="1"/>
  <c r="AA17" i="74" s="1"/>
  <c r="AB17" i="74" s="1"/>
  <c r="AC17" i="74" s="1"/>
  <c r="H16" i="74"/>
  <c r="H15" i="74"/>
  <c r="I15" i="74" s="1"/>
  <c r="J15" i="74" s="1"/>
  <c r="K15" i="74" s="1"/>
  <c r="L15" i="74" s="1"/>
  <c r="M15" i="74" s="1"/>
  <c r="N15" i="74" s="1"/>
  <c r="O15" i="74" s="1"/>
  <c r="P15" i="74" s="1"/>
  <c r="Q15" i="74" s="1"/>
  <c r="R15" i="74" s="1"/>
  <c r="S15" i="74" s="1"/>
  <c r="T15" i="74" s="1"/>
  <c r="U15" i="74" s="1"/>
  <c r="V15" i="74" s="1"/>
  <c r="W15" i="74" s="1"/>
  <c r="X15" i="74" s="1"/>
  <c r="Y15" i="74" s="1"/>
  <c r="Z15" i="74" s="1"/>
  <c r="AA15" i="74" s="1"/>
  <c r="AB15" i="74" s="1"/>
  <c r="AC15" i="74" s="1"/>
  <c r="AC14" i="74"/>
  <c r="AB14" i="74"/>
  <c r="AA14" i="74"/>
  <c r="Z14" i="74"/>
  <c r="Y14" i="74"/>
  <c r="X14" i="74"/>
  <c r="W14" i="74"/>
  <c r="V14" i="74"/>
  <c r="U14" i="74"/>
  <c r="T14" i="74"/>
  <c r="S14" i="74"/>
  <c r="R14" i="74"/>
  <c r="Q14" i="74"/>
  <c r="P14" i="74"/>
  <c r="O14" i="74"/>
  <c r="N14" i="74"/>
  <c r="M14" i="74"/>
  <c r="L14" i="74"/>
  <c r="K14" i="74"/>
  <c r="J14" i="74"/>
  <c r="I14" i="74"/>
  <c r="H14" i="74"/>
  <c r="G14" i="74"/>
  <c r="F14" i="74"/>
  <c r="E14" i="74"/>
  <c r="D14" i="74"/>
  <c r="C4" i="74"/>
  <c r="H654" i="72"/>
  <c r="G654" i="72"/>
  <c r="F654" i="72"/>
  <c r="K633" i="72"/>
  <c r="N633" i="72" s="1"/>
  <c r="J633" i="72"/>
  <c r="M633" i="72" s="1"/>
  <c r="I633" i="72"/>
  <c r="L633" i="72" s="1"/>
  <c r="N632" i="72"/>
  <c r="M632" i="72"/>
  <c r="L632" i="72"/>
  <c r="K632" i="72"/>
  <c r="J632" i="72"/>
  <c r="I632" i="72"/>
  <c r="H632" i="72"/>
  <c r="G632" i="72"/>
  <c r="F632" i="72"/>
  <c r="E632" i="72"/>
  <c r="S632" i="72" s="1"/>
  <c r="D632" i="72"/>
  <c r="C632" i="72"/>
  <c r="K629" i="72"/>
  <c r="J629" i="72"/>
  <c r="I629" i="72"/>
  <c r="H629" i="72"/>
  <c r="G629" i="72"/>
  <c r="F629" i="72"/>
  <c r="N607" i="72"/>
  <c r="M607" i="72"/>
  <c r="L607" i="72"/>
  <c r="K607" i="72"/>
  <c r="J607" i="72"/>
  <c r="I607" i="72"/>
  <c r="H607" i="72"/>
  <c r="G607" i="72"/>
  <c r="F607" i="72"/>
  <c r="E607" i="72"/>
  <c r="Y607" i="72" s="1"/>
  <c r="D607" i="72"/>
  <c r="V607" i="72" s="1"/>
  <c r="C607" i="72"/>
  <c r="Q607" i="72" s="1"/>
  <c r="K604" i="72"/>
  <c r="J604" i="72"/>
  <c r="I604" i="72"/>
  <c r="H604" i="72"/>
  <c r="G604" i="72"/>
  <c r="F604" i="72"/>
  <c r="N582" i="72"/>
  <c r="M582" i="72"/>
  <c r="L582" i="72"/>
  <c r="K582" i="72"/>
  <c r="J582" i="72"/>
  <c r="I582" i="72"/>
  <c r="H582" i="72"/>
  <c r="G582" i="72"/>
  <c r="F582" i="72"/>
  <c r="E582" i="72"/>
  <c r="D582" i="72"/>
  <c r="V582" i="72" s="1"/>
  <c r="C582" i="72"/>
  <c r="U582" i="72" s="1"/>
  <c r="K579" i="72"/>
  <c r="J579" i="72"/>
  <c r="I579" i="72"/>
  <c r="H579" i="72"/>
  <c r="G579" i="72"/>
  <c r="F579" i="72"/>
  <c r="N557" i="72"/>
  <c r="M557" i="72"/>
  <c r="L557" i="72"/>
  <c r="K557" i="72"/>
  <c r="J557" i="72"/>
  <c r="I557" i="72"/>
  <c r="H557" i="72"/>
  <c r="G557" i="72"/>
  <c r="F557" i="72"/>
  <c r="E557" i="72"/>
  <c r="S557" i="72" s="1"/>
  <c r="D557" i="72"/>
  <c r="V557" i="72" s="1"/>
  <c r="C557" i="72"/>
  <c r="U557" i="72" s="1"/>
  <c r="K554" i="72"/>
  <c r="J554" i="72"/>
  <c r="I554" i="72"/>
  <c r="H554" i="72"/>
  <c r="G554" i="72"/>
  <c r="F554" i="72"/>
  <c r="N532" i="72"/>
  <c r="M532" i="72"/>
  <c r="L532" i="72"/>
  <c r="K532" i="72"/>
  <c r="J532" i="72"/>
  <c r="I532" i="72"/>
  <c r="H532" i="72"/>
  <c r="G532" i="72"/>
  <c r="F532" i="72"/>
  <c r="E532" i="72"/>
  <c r="S532" i="72" s="1"/>
  <c r="D532" i="72"/>
  <c r="W532" i="72" s="1"/>
  <c r="C532" i="72"/>
  <c r="U532" i="72" s="1"/>
  <c r="K529" i="72"/>
  <c r="J529" i="72"/>
  <c r="I529" i="72"/>
  <c r="H529" i="72"/>
  <c r="G529" i="72"/>
  <c r="F529" i="72"/>
  <c r="N507" i="72"/>
  <c r="M507" i="72"/>
  <c r="L507" i="72"/>
  <c r="K507" i="72"/>
  <c r="J507" i="72"/>
  <c r="I507" i="72"/>
  <c r="H507" i="72"/>
  <c r="G507" i="72"/>
  <c r="F507" i="72"/>
  <c r="E507" i="72"/>
  <c r="S507" i="72" s="1"/>
  <c r="D507" i="72"/>
  <c r="W507" i="72" s="1"/>
  <c r="C507" i="72"/>
  <c r="U507" i="72" s="1"/>
  <c r="K504" i="72"/>
  <c r="J504" i="72"/>
  <c r="I504" i="72"/>
  <c r="H504" i="72"/>
  <c r="G504" i="72"/>
  <c r="F504" i="72"/>
  <c r="N482" i="72"/>
  <c r="M482" i="72"/>
  <c r="L482" i="72"/>
  <c r="K482" i="72"/>
  <c r="J482" i="72"/>
  <c r="I482" i="72"/>
  <c r="H482" i="72"/>
  <c r="G482" i="72"/>
  <c r="F482" i="72"/>
  <c r="E482" i="72"/>
  <c r="S482" i="72" s="1"/>
  <c r="D482" i="72"/>
  <c r="V482" i="72" s="1"/>
  <c r="C482" i="72"/>
  <c r="U482" i="72" s="1"/>
  <c r="K479" i="72"/>
  <c r="J479" i="72"/>
  <c r="I479" i="72"/>
  <c r="H479" i="72"/>
  <c r="G479" i="72"/>
  <c r="F479" i="72"/>
  <c r="N457" i="72"/>
  <c r="M457" i="72"/>
  <c r="L457" i="72"/>
  <c r="K457" i="72"/>
  <c r="J457" i="72"/>
  <c r="I457" i="72"/>
  <c r="H457" i="72"/>
  <c r="G457" i="72"/>
  <c r="F457" i="72"/>
  <c r="E457" i="72"/>
  <c r="S457" i="72" s="1"/>
  <c r="D457" i="72"/>
  <c r="V457" i="72" s="1"/>
  <c r="C457" i="72"/>
  <c r="U457" i="72" s="1"/>
  <c r="K454" i="72"/>
  <c r="J454" i="72"/>
  <c r="I454" i="72"/>
  <c r="H454" i="72"/>
  <c r="G454" i="72"/>
  <c r="F454" i="72"/>
  <c r="N432" i="72"/>
  <c r="M432" i="72"/>
  <c r="L432" i="72"/>
  <c r="K432" i="72"/>
  <c r="J432" i="72"/>
  <c r="I432" i="72"/>
  <c r="H432" i="72"/>
  <c r="G432" i="72"/>
  <c r="F432" i="72"/>
  <c r="E432" i="72"/>
  <c r="S432" i="72" s="1"/>
  <c r="D432" i="72"/>
  <c r="V432" i="72" s="1"/>
  <c r="C432" i="72"/>
  <c r="U432" i="72" s="1"/>
  <c r="K429" i="72"/>
  <c r="J429" i="72"/>
  <c r="I429" i="72"/>
  <c r="H429" i="72"/>
  <c r="G429" i="72"/>
  <c r="F429" i="72"/>
  <c r="N407" i="72"/>
  <c r="M407" i="72"/>
  <c r="L407" i="72"/>
  <c r="K407" i="72"/>
  <c r="J407" i="72"/>
  <c r="I407" i="72"/>
  <c r="H407" i="72"/>
  <c r="G407" i="72"/>
  <c r="F407" i="72"/>
  <c r="E407" i="72"/>
  <c r="S407" i="72" s="1"/>
  <c r="D407" i="72"/>
  <c r="V407" i="72" s="1"/>
  <c r="C407" i="72"/>
  <c r="U407" i="72" s="1"/>
  <c r="K404" i="72"/>
  <c r="J404" i="72"/>
  <c r="I404" i="72"/>
  <c r="H404" i="72"/>
  <c r="G404" i="72"/>
  <c r="F404" i="72"/>
  <c r="N382" i="72"/>
  <c r="M382" i="72"/>
  <c r="L382" i="72"/>
  <c r="K382" i="72"/>
  <c r="J382" i="72"/>
  <c r="I382" i="72"/>
  <c r="H382" i="72"/>
  <c r="G382" i="72"/>
  <c r="F382" i="72"/>
  <c r="E382" i="72"/>
  <c r="Y382" i="72" s="1"/>
  <c r="D382" i="72"/>
  <c r="V382" i="72" s="1"/>
  <c r="C382" i="72"/>
  <c r="K379" i="72"/>
  <c r="J379" i="72"/>
  <c r="I379" i="72"/>
  <c r="H379" i="72"/>
  <c r="G379" i="72"/>
  <c r="F379" i="72"/>
  <c r="N357" i="72"/>
  <c r="M357" i="72"/>
  <c r="L357" i="72"/>
  <c r="K357" i="72"/>
  <c r="J357" i="72"/>
  <c r="I357" i="72"/>
  <c r="H357" i="72"/>
  <c r="G357" i="72"/>
  <c r="F357" i="72"/>
  <c r="E357" i="72"/>
  <c r="Y357" i="72" s="1"/>
  <c r="D357" i="72"/>
  <c r="W357" i="72" s="1"/>
  <c r="C357" i="72"/>
  <c r="U357" i="72" s="1"/>
  <c r="K354" i="72"/>
  <c r="J354" i="72"/>
  <c r="I354" i="72"/>
  <c r="H354" i="72"/>
  <c r="G354" i="72"/>
  <c r="F354" i="72"/>
  <c r="N332" i="72"/>
  <c r="M332" i="72"/>
  <c r="L332" i="72"/>
  <c r="K332" i="72"/>
  <c r="J332" i="72"/>
  <c r="I332" i="72"/>
  <c r="H332" i="72"/>
  <c r="G332" i="72"/>
  <c r="F332" i="72"/>
  <c r="E332" i="72"/>
  <c r="Y332" i="72" s="1"/>
  <c r="D332" i="72"/>
  <c r="W332" i="72" s="1"/>
  <c r="C332" i="72"/>
  <c r="U332" i="72" s="1"/>
  <c r="K329" i="72"/>
  <c r="J329" i="72"/>
  <c r="I329" i="72"/>
  <c r="H329" i="72"/>
  <c r="G329" i="72"/>
  <c r="F329" i="72"/>
  <c r="N307" i="72"/>
  <c r="M307" i="72"/>
  <c r="L307" i="72"/>
  <c r="K307" i="72"/>
  <c r="J307" i="72"/>
  <c r="I307" i="72"/>
  <c r="H307" i="72"/>
  <c r="G307" i="72"/>
  <c r="F307" i="72"/>
  <c r="E307" i="72"/>
  <c r="Y307" i="72" s="1"/>
  <c r="D307" i="72"/>
  <c r="W307" i="72" s="1"/>
  <c r="C307" i="72"/>
  <c r="U307" i="72" s="1"/>
  <c r="K304" i="72"/>
  <c r="J304" i="72"/>
  <c r="I304" i="72"/>
  <c r="H304" i="72"/>
  <c r="G304" i="72"/>
  <c r="F304" i="72"/>
  <c r="N282" i="72"/>
  <c r="M282" i="72"/>
  <c r="L282" i="72"/>
  <c r="K282" i="72"/>
  <c r="J282" i="72"/>
  <c r="I282" i="72"/>
  <c r="H282" i="72"/>
  <c r="G282" i="72"/>
  <c r="F282" i="72"/>
  <c r="E282" i="72"/>
  <c r="Y282" i="72" s="1"/>
  <c r="D282" i="72"/>
  <c r="W282" i="72" s="1"/>
  <c r="C282" i="72"/>
  <c r="U282" i="72" s="1"/>
  <c r="K279" i="72"/>
  <c r="J279" i="72"/>
  <c r="I279" i="72"/>
  <c r="H279" i="72"/>
  <c r="G279" i="72"/>
  <c r="F279" i="72"/>
  <c r="N257" i="72"/>
  <c r="M257" i="72"/>
  <c r="L257" i="72"/>
  <c r="K257" i="72"/>
  <c r="J257" i="72"/>
  <c r="I257" i="72"/>
  <c r="H257" i="72"/>
  <c r="G257" i="72"/>
  <c r="F257" i="72"/>
  <c r="E257" i="72"/>
  <c r="Y257" i="72" s="1"/>
  <c r="D257" i="72"/>
  <c r="W257" i="72" s="1"/>
  <c r="C257" i="72"/>
  <c r="U257" i="72" s="1"/>
  <c r="K254" i="72"/>
  <c r="J254" i="72"/>
  <c r="I254" i="72"/>
  <c r="H254" i="72"/>
  <c r="G254" i="72"/>
  <c r="F254" i="72"/>
  <c r="N232" i="72"/>
  <c r="M232" i="72"/>
  <c r="L232" i="72"/>
  <c r="K232" i="72"/>
  <c r="J232" i="72"/>
  <c r="I232" i="72"/>
  <c r="H232" i="72"/>
  <c r="G232" i="72"/>
  <c r="F232" i="72"/>
  <c r="E232" i="72"/>
  <c r="Y232" i="72" s="1"/>
  <c r="D232" i="72"/>
  <c r="W232" i="72" s="1"/>
  <c r="C232" i="72"/>
  <c r="U232" i="72" s="1"/>
  <c r="K229" i="72"/>
  <c r="J229" i="72"/>
  <c r="I229" i="72"/>
  <c r="H229" i="72"/>
  <c r="G229" i="72"/>
  <c r="F229" i="72"/>
  <c r="N207" i="72"/>
  <c r="M207" i="72"/>
  <c r="L207" i="72"/>
  <c r="K207" i="72"/>
  <c r="J207" i="72"/>
  <c r="I207" i="72"/>
  <c r="H207" i="72"/>
  <c r="G207" i="72"/>
  <c r="F207" i="72"/>
  <c r="E207" i="72"/>
  <c r="X207" i="72" s="1"/>
  <c r="D207" i="72"/>
  <c r="W207" i="72" s="1"/>
  <c r="C207" i="72"/>
  <c r="U207" i="72" s="1"/>
  <c r="K204" i="72"/>
  <c r="J204" i="72"/>
  <c r="I204" i="72"/>
  <c r="H204" i="72"/>
  <c r="G204" i="72"/>
  <c r="F204" i="72"/>
  <c r="N182" i="72"/>
  <c r="M182" i="72"/>
  <c r="L182" i="72"/>
  <c r="K182" i="72"/>
  <c r="J182" i="72"/>
  <c r="I182" i="72"/>
  <c r="H182" i="72"/>
  <c r="G182" i="72"/>
  <c r="F182" i="72"/>
  <c r="E182" i="72"/>
  <c r="X182" i="72" s="1"/>
  <c r="D182" i="72"/>
  <c r="W182" i="72" s="1"/>
  <c r="C182" i="72"/>
  <c r="U182" i="72" s="1"/>
  <c r="K179" i="72"/>
  <c r="J179" i="72"/>
  <c r="I179" i="72"/>
  <c r="H179" i="72"/>
  <c r="G179" i="72"/>
  <c r="F179" i="72"/>
  <c r="N157" i="72"/>
  <c r="M157" i="72"/>
  <c r="L157" i="72"/>
  <c r="K157" i="72"/>
  <c r="J157" i="72"/>
  <c r="I157" i="72"/>
  <c r="H157" i="72"/>
  <c r="G157" i="72"/>
  <c r="F157" i="72"/>
  <c r="E157" i="72"/>
  <c r="X157" i="72" s="1"/>
  <c r="D157" i="72"/>
  <c r="W157" i="72" s="1"/>
  <c r="C157" i="72"/>
  <c r="U157" i="72" s="1"/>
  <c r="K154" i="72"/>
  <c r="J154" i="72"/>
  <c r="I154" i="72"/>
  <c r="H154" i="72"/>
  <c r="G154" i="72"/>
  <c r="F154" i="72"/>
  <c r="N132" i="72"/>
  <c r="M132" i="72"/>
  <c r="L132" i="72"/>
  <c r="K132" i="72"/>
  <c r="J132" i="72"/>
  <c r="I132" i="72"/>
  <c r="H132" i="72"/>
  <c r="G132" i="72"/>
  <c r="F132" i="72"/>
  <c r="E132" i="72"/>
  <c r="X132" i="72" s="1"/>
  <c r="D132" i="72"/>
  <c r="W132" i="72" s="1"/>
  <c r="C132" i="72"/>
  <c r="T132" i="72" s="1"/>
  <c r="K129" i="72"/>
  <c r="J129" i="72"/>
  <c r="I129" i="72"/>
  <c r="H129" i="72"/>
  <c r="G129" i="72"/>
  <c r="F129" i="72"/>
  <c r="N107" i="72"/>
  <c r="M107" i="72"/>
  <c r="L107" i="72"/>
  <c r="K107" i="72"/>
  <c r="J107" i="72"/>
  <c r="I107" i="72"/>
  <c r="H107" i="72"/>
  <c r="G107" i="72"/>
  <c r="F107" i="72"/>
  <c r="E107" i="72"/>
  <c r="Y107" i="72" s="1"/>
  <c r="D107" i="72"/>
  <c r="W107" i="72" s="1"/>
  <c r="C107" i="72"/>
  <c r="U107" i="72" s="1"/>
  <c r="K104" i="72"/>
  <c r="J104" i="72"/>
  <c r="I104" i="72"/>
  <c r="H104" i="72"/>
  <c r="G104" i="72"/>
  <c r="F104" i="72"/>
  <c r="N82" i="72"/>
  <c r="M82" i="72"/>
  <c r="L82" i="72"/>
  <c r="K82" i="72"/>
  <c r="J82" i="72"/>
  <c r="I82" i="72"/>
  <c r="H82" i="72"/>
  <c r="G82" i="72"/>
  <c r="F82" i="72"/>
  <c r="E82" i="72"/>
  <c r="Y82" i="72" s="1"/>
  <c r="D82" i="72"/>
  <c r="W82" i="72" s="1"/>
  <c r="C82" i="72"/>
  <c r="U82" i="72" s="1"/>
  <c r="K79" i="72"/>
  <c r="J79" i="72"/>
  <c r="I79" i="72"/>
  <c r="H79" i="72"/>
  <c r="G79" i="72"/>
  <c r="F79" i="72"/>
  <c r="N57" i="72"/>
  <c r="M57" i="72"/>
  <c r="L57" i="72"/>
  <c r="K57" i="72"/>
  <c r="J57" i="72"/>
  <c r="I57" i="72"/>
  <c r="H57" i="72"/>
  <c r="G57" i="72"/>
  <c r="F57" i="72"/>
  <c r="E57" i="72"/>
  <c r="Y57" i="72" s="1"/>
  <c r="D57" i="72"/>
  <c r="W57" i="72" s="1"/>
  <c r="C57" i="72"/>
  <c r="U57" i="72" s="1"/>
  <c r="K54" i="72"/>
  <c r="J54" i="72"/>
  <c r="I54" i="72"/>
  <c r="H54" i="72"/>
  <c r="G54" i="72"/>
  <c r="F54" i="72"/>
  <c r="N32" i="72"/>
  <c r="M32" i="72"/>
  <c r="L32" i="72"/>
  <c r="K32" i="72"/>
  <c r="J32" i="72"/>
  <c r="I32" i="72"/>
  <c r="H32" i="72"/>
  <c r="G32" i="72"/>
  <c r="F32" i="72"/>
  <c r="E32" i="72"/>
  <c r="X32" i="72" s="1"/>
  <c r="D32" i="72"/>
  <c r="R32" i="72" s="1"/>
  <c r="C32" i="72"/>
  <c r="T32" i="72" s="1"/>
  <c r="A31" i="72"/>
  <c r="M33" i="72" s="1"/>
  <c r="K29" i="72"/>
  <c r="J29" i="72"/>
  <c r="I29" i="72"/>
  <c r="E29" i="72"/>
  <c r="D29" i="72"/>
  <c r="C29" i="72"/>
  <c r="N28" i="72"/>
  <c r="M28" i="72"/>
  <c r="L28" i="72"/>
  <c r="N27" i="72"/>
  <c r="M27" i="72"/>
  <c r="L27" i="72"/>
  <c r="N26" i="72"/>
  <c r="M26" i="72"/>
  <c r="L26" i="72"/>
  <c r="N25" i="72"/>
  <c r="M25" i="72"/>
  <c r="L25" i="72"/>
  <c r="N24" i="72"/>
  <c r="M24" i="72"/>
  <c r="L24" i="72"/>
  <c r="N23" i="72"/>
  <c r="M23" i="72"/>
  <c r="L23" i="72"/>
  <c r="N22" i="72"/>
  <c r="M22" i="72"/>
  <c r="L22" i="72"/>
  <c r="N21" i="72"/>
  <c r="M21" i="72"/>
  <c r="L21" i="72"/>
  <c r="N20" i="72"/>
  <c r="M20" i="72"/>
  <c r="L20" i="72"/>
  <c r="N19" i="72"/>
  <c r="M19" i="72"/>
  <c r="L19" i="72"/>
  <c r="N18" i="72"/>
  <c r="M18" i="72"/>
  <c r="L18" i="72"/>
  <c r="N17" i="72"/>
  <c r="M17" i="72"/>
  <c r="L17" i="72"/>
  <c r="M16" i="72"/>
  <c r="N16" i="72"/>
  <c r="L16" i="72"/>
  <c r="N15" i="72"/>
  <c r="M15" i="72"/>
  <c r="L15" i="72"/>
  <c r="N14" i="72"/>
  <c r="M14" i="72"/>
  <c r="L14" i="72"/>
  <c r="N13" i="72"/>
  <c r="M13" i="72"/>
  <c r="L13" i="72"/>
  <c r="AU12" i="72"/>
  <c r="AU13" i="72" s="1"/>
  <c r="AS12" i="72"/>
  <c r="AS13" i="72" s="1"/>
  <c r="AS14" i="72" s="1"/>
  <c r="AS15" i="72" s="1"/>
  <c r="AS16" i="72" s="1"/>
  <c r="AS17" i="72" s="1"/>
  <c r="AS18" i="72" s="1"/>
  <c r="AS19" i="72" s="1"/>
  <c r="AS20" i="72" s="1"/>
  <c r="AS21" i="72" s="1"/>
  <c r="AS22" i="72" s="1"/>
  <c r="AS23" i="72" s="1"/>
  <c r="AS24" i="72" s="1"/>
  <c r="AS25" i="72" s="1"/>
  <c r="AS26" i="72" s="1"/>
  <c r="AS27" i="72" s="1"/>
  <c r="AS28" i="72" s="1"/>
  <c r="AS29" i="72" s="1"/>
  <c r="AS30" i="72" s="1"/>
  <c r="AS31" i="72" s="1"/>
  <c r="AS32" i="72" s="1"/>
  <c r="AM12" i="72"/>
  <c r="AK12" i="72"/>
  <c r="AK13" i="72" s="1"/>
  <c r="AK14" i="72" s="1"/>
  <c r="AK15" i="72" s="1"/>
  <c r="AK16" i="72" s="1"/>
  <c r="AK17" i="72" s="1"/>
  <c r="AK18" i="72" s="1"/>
  <c r="AK19" i="72" s="1"/>
  <c r="AK20" i="72" s="1"/>
  <c r="AK21" i="72" s="1"/>
  <c r="AK22" i="72" s="1"/>
  <c r="AK23" i="72" s="1"/>
  <c r="AK24" i="72" s="1"/>
  <c r="AK25" i="72" s="1"/>
  <c r="AK26" i="72" s="1"/>
  <c r="AK27" i="72" s="1"/>
  <c r="AK28" i="72" s="1"/>
  <c r="AK29" i="72" s="1"/>
  <c r="AK30" i="72" s="1"/>
  <c r="AK31" i="72" s="1"/>
  <c r="AK32" i="72" s="1"/>
  <c r="AE12" i="72"/>
  <c r="AC12" i="72"/>
  <c r="AC13" i="72" s="1"/>
  <c r="AC14" i="72" s="1"/>
  <c r="AC15" i="72" s="1"/>
  <c r="AC16" i="72" s="1"/>
  <c r="AC17" i="72" s="1"/>
  <c r="AC18" i="72" s="1"/>
  <c r="AC19" i="72" s="1"/>
  <c r="AC20" i="72" s="1"/>
  <c r="AC21" i="72" s="1"/>
  <c r="AC22" i="72" s="1"/>
  <c r="AC23" i="72" s="1"/>
  <c r="AC24" i="72" s="1"/>
  <c r="AC25" i="72" s="1"/>
  <c r="AC26" i="72" s="1"/>
  <c r="AC27" i="72" s="1"/>
  <c r="AC28" i="72" s="1"/>
  <c r="AC29" i="72" s="1"/>
  <c r="AC30" i="72" s="1"/>
  <c r="AC31" i="72" s="1"/>
  <c r="AC32" i="72" s="1"/>
  <c r="L12" i="72"/>
  <c r="N12" i="72"/>
  <c r="M12" i="72"/>
  <c r="N11" i="72"/>
  <c r="M11" i="72"/>
  <c r="L11" i="72"/>
  <c r="N10" i="72"/>
  <c r="M10" i="72"/>
  <c r="L10" i="72"/>
  <c r="N9" i="72"/>
  <c r="M9" i="72"/>
  <c r="N8" i="72"/>
  <c r="M8" i="72"/>
  <c r="L8" i="72"/>
  <c r="AX19" i="72"/>
  <c r="AP32" i="72"/>
  <c r="AH30" i="72"/>
  <c r="Y7" i="72"/>
  <c r="X7" i="72"/>
  <c r="W7" i="72"/>
  <c r="V7" i="72"/>
  <c r="U7" i="72"/>
  <c r="T7" i="72"/>
  <c r="S7" i="72"/>
  <c r="R7" i="72"/>
  <c r="Q7" i="72"/>
  <c r="N7" i="72"/>
  <c r="M7" i="72"/>
  <c r="L7" i="72"/>
  <c r="K7" i="72"/>
  <c r="J7" i="72"/>
  <c r="I7" i="72"/>
  <c r="H7" i="72"/>
  <c r="G7" i="72"/>
  <c r="F7" i="72"/>
  <c r="B78" i="40"/>
  <c r="D32" i="80" l="1"/>
  <c r="D42" i="80" s="1"/>
  <c r="D11" i="78"/>
  <c r="D28" i="78"/>
  <c r="D15" i="78" s="1"/>
  <c r="AC14" i="78"/>
  <c r="N29" i="72"/>
  <c r="N30" i="72" s="1"/>
  <c r="I16" i="74"/>
  <c r="J16" i="74" s="1"/>
  <c r="K16" i="74" s="1"/>
  <c r="L16" i="74" s="1"/>
  <c r="M16" i="74" s="1"/>
  <c r="N16" i="74" s="1"/>
  <c r="O16" i="74" s="1"/>
  <c r="P16" i="74" s="1"/>
  <c r="Q16" i="74" s="1"/>
  <c r="R16" i="74" s="1"/>
  <c r="S16" i="74" s="1"/>
  <c r="T16" i="74" s="1"/>
  <c r="U16" i="74" s="1"/>
  <c r="V16" i="74" s="1"/>
  <c r="W16" i="74" s="1"/>
  <c r="X16" i="74" s="1"/>
  <c r="Y16" i="74" s="1"/>
  <c r="Z16" i="74" s="1"/>
  <c r="AA16" i="74" s="1"/>
  <c r="AB16" i="74" s="1"/>
  <c r="AC16" i="74" s="1"/>
  <c r="G6" i="80"/>
  <c r="G7" i="80" s="1"/>
  <c r="C9" i="77"/>
  <c r="D9" i="77" s="1"/>
  <c r="E9" i="77" s="1"/>
  <c r="F9" i="77" s="1"/>
  <c r="G9" i="77" s="1"/>
  <c r="H9" i="77" s="1"/>
  <c r="I9" i="77" s="1"/>
  <c r="J9" i="77" s="1"/>
  <c r="K9" i="77" s="1"/>
  <c r="L9" i="77" s="1"/>
  <c r="M9" i="77" s="1"/>
  <c r="N9" i="77" s="1"/>
  <c r="O9" i="77" s="1"/>
  <c r="P9" i="77" s="1"/>
  <c r="Q9" i="77" s="1"/>
  <c r="T39" i="75"/>
  <c r="T19" i="75"/>
  <c r="X39" i="75"/>
  <c r="X19" i="75"/>
  <c r="U39" i="75"/>
  <c r="U19" i="75"/>
  <c r="Y39" i="75"/>
  <c r="Y19" i="75"/>
  <c r="R39" i="75"/>
  <c r="R19" i="75"/>
  <c r="V39" i="75"/>
  <c r="V21" i="75"/>
  <c r="V19" i="75"/>
  <c r="Z39" i="75"/>
  <c r="Z19" i="75"/>
  <c r="S39" i="75"/>
  <c r="S19" i="75"/>
  <c r="W39" i="75"/>
  <c r="W21" i="75"/>
  <c r="W19" i="75"/>
  <c r="AA39" i="75"/>
  <c r="AA19" i="75"/>
  <c r="R182" i="72"/>
  <c r="R207" i="72"/>
  <c r="R232" i="72"/>
  <c r="S607" i="72"/>
  <c r="Y632" i="72"/>
  <c r="Y182" i="72"/>
  <c r="Y207" i="72"/>
  <c r="X532" i="72"/>
  <c r="X607" i="72"/>
  <c r="U15" i="75"/>
  <c r="U16" i="75"/>
  <c r="U17" i="75"/>
  <c r="U18" i="75"/>
  <c r="U20" i="75"/>
  <c r="U24" i="75"/>
  <c r="U25" i="75"/>
  <c r="U26" i="75"/>
  <c r="U27" i="75"/>
  <c r="U21" i="75"/>
  <c r="U22" i="75"/>
  <c r="U23" i="75"/>
  <c r="U28" i="75"/>
  <c r="U29" i="75"/>
  <c r="U34" i="75"/>
  <c r="U33" i="75"/>
  <c r="U30" i="75"/>
  <c r="U31" i="75"/>
  <c r="U32" i="75"/>
  <c r="U35" i="75"/>
  <c r="Y15" i="75"/>
  <c r="Y16" i="75"/>
  <c r="Y17" i="75"/>
  <c r="Y18" i="75"/>
  <c r="Y20" i="75"/>
  <c r="Y24" i="75"/>
  <c r="Y25" i="75"/>
  <c r="Y26" i="75"/>
  <c r="Y27" i="75"/>
  <c r="Y21" i="75"/>
  <c r="Y22" i="75"/>
  <c r="Y23" i="75"/>
  <c r="Y28" i="75"/>
  <c r="Y29" i="75"/>
  <c r="Y34" i="75"/>
  <c r="Y30" i="75"/>
  <c r="Y31" i="75"/>
  <c r="Y32" i="75"/>
  <c r="Y33" i="75"/>
  <c r="Y35" i="75"/>
  <c r="R15" i="75"/>
  <c r="R16" i="75"/>
  <c r="R17" i="75"/>
  <c r="R18" i="75"/>
  <c r="R20" i="75"/>
  <c r="R24" i="75"/>
  <c r="R25" i="75"/>
  <c r="R26" i="75"/>
  <c r="R27" i="75"/>
  <c r="R28" i="75"/>
  <c r="R35" i="75"/>
  <c r="R21" i="75"/>
  <c r="R23" i="75"/>
  <c r="R34" i="75"/>
  <c r="R29" i="75"/>
  <c r="R33" i="75"/>
  <c r="R30" i="75"/>
  <c r="R32" i="75"/>
  <c r="R22" i="75"/>
  <c r="R31" i="75"/>
  <c r="V15" i="75"/>
  <c r="V16" i="75"/>
  <c r="V17" i="75"/>
  <c r="V18" i="75"/>
  <c r="V20" i="75"/>
  <c r="V24" i="75"/>
  <c r="V25" i="75"/>
  <c r="V26" i="75"/>
  <c r="V27" i="75"/>
  <c r="V22" i="75"/>
  <c r="V29" i="75"/>
  <c r="V35" i="75"/>
  <c r="V28" i="75"/>
  <c r="V34" i="75"/>
  <c r="V23" i="75"/>
  <c r="V31" i="75"/>
  <c r="V33" i="75"/>
  <c r="V30" i="75"/>
  <c r="V32" i="75"/>
  <c r="Z15" i="75"/>
  <c r="Z16" i="75"/>
  <c r="Z17" i="75"/>
  <c r="Z18" i="75"/>
  <c r="Z20" i="75"/>
  <c r="Z24" i="75"/>
  <c r="Z25" i="75"/>
  <c r="Z26" i="75"/>
  <c r="Z27" i="75"/>
  <c r="Z35" i="75"/>
  <c r="Z28" i="75"/>
  <c r="Z22" i="75"/>
  <c r="Z34" i="75"/>
  <c r="Z23" i="75"/>
  <c r="Z30" i="75"/>
  <c r="Z21" i="75"/>
  <c r="Z29" i="75"/>
  <c r="Z31" i="75"/>
  <c r="Z33" i="75"/>
  <c r="Z32" i="75"/>
  <c r="Y32" i="72"/>
  <c r="Y157" i="72"/>
  <c r="Y432" i="72"/>
  <c r="T507" i="72"/>
  <c r="S21" i="75"/>
  <c r="S22" i="75"/>
  <c r="S23" i="75"/>
  <c r="S28" i="75"/>
  <c r="S25" i="75"/>
  <c r="S27" i="75"/>
  <c r="S30" i="75"/>
  <c r="S31" i="75"/>
  <c r="S32" i="75"/>
  <c r="S33" i="75"/>
  <c r="S26" i="75"/>
  <c r="S16" i="75"/>
  <c r="S18" i="75"/>
  <c r="S20" i="75"/>
  <c r="S35" i="75"/>
  <c r="S24" i="75"/>
  <c r="S15" i="75"/>
  <c r="S29" i="75"/>
  <c r="S17" i="75"/>
  <c r="S34" i="75"/>
  <c r="W36" i="75"/>
  <c r="W22" i="75"/>
  <c r="W23" i="75"/>
  <c r="W28" i="75"/>
  <c r="W15" i="75"/>
  <c r="W17" i="75"/>
  <c r="W30" i="75"/>
  <c r="W31" i="75"/>
  <c r="W32" i="75"/>
  <c r="W33" i="75"/>
  <c r="W25" i="75"/>
  <c r="W27" i="75"/>
  <c r="W29" i="75"/>
  <c r="W35" i="75"/>
  <c r="W16" i="75"/>
  <c r="W18" i="75"/>
  <c r="W20" i="75"/>
  <c r="W26" i="75"/>
  <c r="W34" i="75"/>
  <c r="W24" i="75"/>
  <c r="AA21" i="75"/>
  <c r="AA22" i="75"/>
  <c r="AA23" i="75"/>
  <c r="AA28" i="75"/>
  <c r="AA24" i="75"/>
  <c r="AA26" i="75"/>
  <c r="AA29" i="75"/>
  <c r="AA30" i="75"/>
  <c r="AA31" i="75"/>
  <c r="AA32" i="75"/>
  <c r="AA33" i="75"/>
  <c r="AA15" i="75"/>
  <c r="AA17" i="75"/>
  <c r="AA35" i="75"/>
  <c r="AA25" i="75"/>
  <c r="AA27" i="75"/>
  <c r="AA20" i="75"/>
  <c r="AA18" i="75"/>
  <c r="AA34" i="75"/>
  <c r="AA16" i="75"/>
  <c r="Y482" i="72"/>
  <c r="T38" i="75"/>
  <c r="T15" i="75"/>
  <c r="T16" i="75"/>
  <c r="T17" i="75"/>
  <c r="T18" i="75"/>
  <c r="T20" i="75"/>
  <c r="T24" i="75"/>
  <c r="T25" i="75"/>
  <c r="T26" i="75"/>
  <c r="T27" i="75"/>
  <c r="T21" i="75"/>
  <c r="T22" i="75"/>
  <c r="T23" i="75"/>
  <c r="T28" i="75"/>
  <c r="T29" i="75"/>
  <c r="T30" i="75"/>
  <c r="T31" i="75"/>
  <c r="T32" i="75"/>
  <c r="T33" i="75"/>
  <c r="T34" i="75"/>
  <c r="T35" i="75"/>
  <c r="X4" i="75"/>
  <c r="X15" i="75"/>
  <c r="X16" i="75"/>
  <c r="X17" i="75"/>
  <c r="X18" i="75"/>
  <c r="X20" i="75"/>
  <c r="X24" i="75"/>
  <c r="X25" i="75"/>
  <c r="X26" i="75"/>
  <c r="X27" i="75"/>
  <c r="X21" i="75"/>
  <c r="X22" i="75"/>
  <c r="X23" i="75"/>
  <c r="X28" i="75"/>
  <c r="X29" i="75"/>
  <c r="X30" i="75"/>
  <c r="X31" i="75"/>
  <c r="X32" i="75"/>
  <c r="X33" i="75"/>
  <c r="X35" i="75"/>
  <c r="X34" i="75"/>
  <c r="X382" i="72"/>
  <c r="W407" i="72"/>
  <c r="X407" i="72"/>
  <c r="D51" i="72"/>
  <c r="M51" i="72" s="1"/>
  <c r="W457" i="72"/>
  <c r="T532" i="72"/>
  <c r="T557" i="72"/>
  <c r="D34" i="72"/>
  <c r="M34" i="72" s="1"/>
  <c r="T432" i="72"/>
  <c r="X457" i="72"/>
  <c r="T482" i="72"/>
  <c r="X507" i="72"/>
  <c r="W557" i="72"/>
  <c r="T582" i="72"/>
  <c r="E44" i="72"/>
  <c r="N44" i="72" s="1"/>
  <c r="Y132" i="72"/>
  <c r="S382" i="72"/>
  <c r="Y407" i="72"/>
  <c r="W432" i="72"/>
  <c r="Y457" i="72"/>
  <c r="W482" i="72"/>
  <c r="X557" i="72"/>
  <c r="W582" i="72"/>
  <c r="T607" i="72"/>
  <c r="C46" i="72"/>
  <c r="L46" i="72" s="1"/>
  <c r="E48" i="72"/>
  <c r="C50" i="72"/>
  <c r="L50" i="72" s="1"/>
  <c r="E52" i="72"/>
  <c r="T107" i="72"/>
  <c r="R257" i="72"/>
  <c r="W382" i="72"/>
  <c r="T407" i="72"/>
  <c r="X432" i="72"/>
  <c r="T457" i="72"/>
  <c r="X482" i="72"/>
  <c r="R507" i="72"/>
  <c r="W607" i="72"/>
  <c r="X632" i="72"/>
  <c r="W7" i="75"/>
  <c r="E22" i="80"/>
  <c r="D48" i="80" s="1"/>
  <c r="D50" i="80" s="1"/>
  <c r="B15" i="73" s="1"/>
  <c r="U8" i="74"/>
  <c r="S9" i="74"/>
  <c r="Y10" i="74"/>
  <c r="G40" i="74"/>
  <c r="W40" i="74"/>
  <c r="U12" i="75"/>
  <c r="U11" i="75"/>
  <c r="U10" i="75"/>
  <c r="Y10" i="75"/>
  <c r="Y12" i="75"/>
  <c r="Y11" i="75"/>
  <c r="T8" i="75"/>
  <c r="M14" i="78"/>
  <c r="S7" i="74"/>
  <c r="AC6" i="74"/>
  <c r="V8" i="74"/>
  <c r="T9" i="74"/>
  <c r="Z10" i="74"/>
  <c r="K40" i="74"/>
  <c r="AA40" i="74"/>
  <c r="R10" i="75"/>
  <c r="R12" i="75"/>
  <c r="R11" i="75"/>
  <c r="V11" i="75"/>
  <c r="V10" i="75"/>
  <c r="V12" i="75"/>
  <c r="Z10" i="75"/>
  <c r="Z12" i="75"/>
  <c r="Z11" i="75"/>
  <c r="Z5" i="75"/>
  <c r="U9" i="75"/>
  <c r="Q14" i="78"/>
  <c r="V15" i="78"/>
  <c r="Y6" i="74"/>
  <c r="Y8" i="74"/>
  <c r="AA9" i="74"/>
  <c r="O40" i="74"/>
  <c r="S11" i="75"/>
  <c r="S10" i="75"/>
  <c r="S12" i="75"/>
  <c r="W12" i="75"/>
  <c r="W11" i="75"/>
  <c r="W10" i="75"/>
  <c r="AA11" i="75"/>
  <c r="AA10" i="75"/>
  <c r="AA12" i="75"/>
  <c r="Y6" i="75"/>
  <c r="S14" i="75"/>
  <c r="W41" i="75"/>
  <c r="D27" i="78"/>
  <c r="D26" i="78"/>
  <c r="D13" i="78" s="1"/>
  <c r="D12" i="78"/>
  <c r="E14" i="78"/>
  <c r="U14" i="78"/>
  <c r="AA7" i="74"/>
  <c r="U6" i="74"/>
  <c r="AC8" i="74"/>
  <c r="AB9" i="74"/>
  <c r="S40" i="74"/>
  <c r="T6" i="75"/>
  <c r="T12" i="75"/>
  <c r="T11" i="75"/>
  <c r="T10" i="75"/>
  <c r="X11" i="75"/>
  <c r="X12" i="75"/>
  <c r="X10" i="75"/>
  <c r="T4" i="75"/>
  <c r="X46" i="75"/>
  <c r="Y14" i="78"/>
  <c r="W7" i="74"/>
  <c r="Y11" i="74"/>
  <c r="C8" i="77"/>
  <c r="D8" i="77" s="1"/>
  <c r="E8" i="77" s="1"/>
  <c r="F8" i="77" s="1"/>
  <c r="G8" i="77" s="1"/>
  <c r="H8" i="77" s="1"/>
  <c r="I8" i="77" s="1"/>
  <c r="J8" i="77" s="1"/>
  <c r="K8" i="77" s="1"/>
  <c r="L8" i="77" s="1"/>
  <c r="M8" i="77" s="1"/>
  <c r="N8" i="77" s="1"/>
  <c r="O8" i="77" s="1"/>
  <c r="P8" i="77" s="1"/>
  <c r="Q8" i="77" s="1"/>
  <c r="V11" i="74"/>
  <c r="Z11" i="74"/>
  <c r="S11" i="74"/>
  <c r="W11" i="74"/>
  <c r="C7" i="77"/>
  <c r="AA11" i="74"/>
  <c r="C6" i="77"/>
  <c r="D6" i="77" s="1"/>
  <c r="E6" i="77" s="1"/>
  <c r="F6" i="77" s="1"/>
  <c r="G6" i="77" s="1"/>
  <c r="H6" i="77" s="1"/>
  <c r="I6" i="77" s="1"/>
  <c r="J6" i="77" s="1"/>
  <c r="K6" i="77" s="1"/>
  <c r="L6" i="77" s="1"/>
  <c r="M6" i="77" s="1"/>
  <c r="N6" i="77" s="1"/>
  <c r="O6" i="77" s="1"/>
  <c r="P6" i="77" s="1"/>
  <c r="Q6" i="77" s="1"/>
  <c r="T11" i="74"/>
  <c r="X11" i="74"/>
  <c r="AB11" i="74"/>
  <c r="U11" i="74"/>
  <c r="AC11" i="74"/>
  <c r="Z8" i="74"/>
  <c r="W9" i="74"/>
  <c r="U10" i="74"/>
  <c r="AC10" i="74"/>
  <c r="Z7" i="74"/>
  <c r="V7" i="74"/>
  <c r="AB6" i="74"/>
  <c r="X6" i="74"/>
  <c r="T6" i="74"/>
  <c r="X9" i="74"/>
  <c r="V10" i="74"/>
  <c r="Y7" i="74"/>
  <c r="U7" i="74"/>
  <c r="AC7" i="74"/>
  <c r="AA6" i="74"/>
  <c r="W6" i="74"/>
  <c r="S6" i="74"/>
  <c r="AB7" i="74"/>
  <c r="X7" i="74"/>
  <c r="T7" i="74"/>
  <c r="Z6" i="74"/>
  <c r="V6" i="74"/>
  <c r="G29" i="72"/>
  <c r="E35" i="72"/>
  <c r="N35" i="72" s="1"/>
  <c r="D39" i="72"/>
  <c r="M39" i="72" s="1"/>
  <c r="C42" i="72"/>
  <c r="L42" i="72" s="1"/>
  <c r="D43" i="72"/>
  <c r="M43" i="72" s="1"/>
  <c r="C37" i="72"/>
  <c r="L37" i="72" s="1"/>
  <c r="AP13" i="72"/>
  <c r="AP14" i="72"/>
  <c r="AH16" i="72"/>
  <c r="AP18" i="72"/>
  <c r="AP19" i="72"/>
  <c r="AP22" i="72"/>
  <c r="AP23" i="72"/>
  <c r="AP25" i="72"/>
  <c r="AP31" i="72"/>
  <c r="C38" i="72"/>
  <c r="L38" i="72" s="1"/>
  <c r="AP12" i="72"/>
  <c r="AH15" i="72"/>
  <c r="AP17" i="72"/>
  <c r="AH26" i="72"/>
  <c r="AP27" i="72"/>
  <c r="AH29" i="72"/>
  <c r="AH12" i="72"/>
  <c r="AH13" i="72"/>
  <c r="AH14" i="72"/>
  <c r="AP16" i="72"/>
  <c r="AH18" i="72"/>
  <c r="AH21" i="72"/>
  <c r="AH22" i="72"/>
  <c r="AH28" i="72"/>
  <c r="AP30" i="72"/>
  <c r="AH32" i="72"/>
  <c r="AP15" i="72"/>
  <c r="AH17" i="72"/>
  <c r="Q32" i="72"/>
  <c r="V57" i="72"/>
  <c r="L9" i="72"/>
  <c r="L29" i="72" s="1"/>
  <c r="L30" i="72" s="1"/>
  <c r="AU14" i="72"/>
  <c r="E40" i="72"/>
  <c r="N40" i="72" s="1"/>
  <c r="U32" i="72"/>
  <c r="AX30" i="72"/>
  <c r="AX27" i="72"/>
  <c r="AX25" i="72"/>
  <c r="AX22" i="72"/>
  <c r="AX18" i="72"/>
  <c r="AX17" i="72"/>
  <c r="AX16" i="72"/>
  <c r="AX15" i="72"/>
  <c r="AX14" i="72"/>
  <c r="AX13" i="72"/>
  <c r="AX12" i="72"/>
  <c r="AX11" i="72"/>
  <c r="AX32" i="72"/>
  <c r="AX28" i="72"/>
  <c r="AX24" i="72"/>
  <c r="AX20" i="72"/>
  <c r="AX31" i="72"/>
  <c r="AX21" i="72"/>
  <c r="AX29" i="72"/>
  <c r="AX26" i="72"/>
  <c r="AE13" i="72"/>
  <c r="AM13" i="72"/>
  <c r="AX23" i="72"/>
  <c r="H29" i="72"/>
  <c r="D47" i="72"/>
  <c r="M47" i="72" s="1"/>
  <c r="R57" i="72"/>
  <c r="V82" i="72"/>
  <c r="R107" i="72"/>
  <c r="Q132" i="72"/>
  <c r="M29" i="72"/>
  <c r="M30" i="72" s="1"/>
  <c r="V32" i="72"/>
  <c r="N33" i="72"/>
  <c r="C36" i="72"/>
  <c r="L36" i="72" s="1"/>
  <c r="C41" i="72"/>
  <c r="L41" i="72" s="1"/>
  <c r="E43" i="72"/>
  <c r="N43" i="72" s="1"/>
  <c r="C49" i="72"/>
  <c r="L49" i="72" s="1"/>
  <c r="C53" i="72"/>
  <c r="L53" i="72" s="1"/>
  <c r="S107" i="72"/>
  <c r="R132" i="72"/>
  <c r="AH19" i="72"/>
  <c r="AP20" i="72"/>
  <c r="AH23" i="72"/>
  <c r="AP24" i="72"/>
  <c r="F29" i="72"/>
  <c r="AH31" i="72"/>
  <c r="S32" i="72"/>
  <c r="W32" i="72"/>
  <c r="D36" i="72"/>
  <c r="E37" i="72"/>
  <c r="N37" i="72" s="1"/>
  <c r="E38" i="72"/>
  <c r="N38" i="72" s="1"/>
  <c r="C40" i="72"/>
  <c r="L40" i="72" s="1"/>
  <c r="D41" i="72"/>
  <c r="M41" i="72" s="1"/>
  <c r="E42" i="72"/>
  <c r="N42" i="72" s="1"/>
  <c r="C44" i="72"/>
  <c r="L44" i="72" s="1"/>
  <c r="D45" i="72"/>
  <c r="M45" i="72" s="1"/>
  <c r="E46" i="72"/>
  <c r="N46" i="72" s="1"/>
  <c r="C48" i="72"/>
  <c r="L48" i="72" s="1"/>
  <c r="D49" i="72"/>
  <c r="M49" i="72" s="1"/>
  <c r="E50" i="72"/>
  <c r="N50" i="72" s="1"/>
  <c r="C52" i="72"/>
  <c r="L52" i="72" s="1"/>
  <c r="D53" i="72"/>
  <c r="M53" i="72" s="1"/>
  <c r="A56" i="72"/>
  <c r="T57" i="72"/>
  <c r="X57" i="72"/>
  <c r="T82" i="72"/>
  <c r="X82" i="72"/>
  <c r="X107" i="72"/>
  <c r="U132" i="72"/>
  <c r="V207" i="72"/>
  <c r="R82" i="72"/>
  <c r="V107" i="72"/>
  <c r="V157" i="72"/>
  <c r="E34" i="72"/>
  <c r="D37" i="72"/>
  <c r="M37" i="72" s="1"/>
  <c r="D38" i="72"/>
  <c r="M38" i="72" s="1"/>
  <c r="E39" i="72"/>
  <c r="N39" i="72" s="1"/>
  <c r="D42" i="72"/>
  <c r="M42" i="72" s="1"/>
  <c r="C45" i="72"/>
  <c r="L45" i="72" s="1"/>
  <c r="D46" i="72"/>
  <c r="M46" i="72" s="1"/>
  <c r="E47" i="72"/>
  <c r="N47" i="72" s="1"/>
  <c r="D50" i="72"/>
  <c r="M50" i="72" s="1"/>
  <c r="E51" i="72"/>
  <c r="N51" i="72" s="1"/>
  <c r="S57" i="72"/>
  <c r="S82" i="72"/>
  <c r="V182" i="72"/>
  <c r="AH11" i="72"/>
  <c r="AP11" i="72"/>
  <c r="AH20" i="72"/>
  <c r="AP21" i="72"/>
  <c r="AH24" i="72"/>
  <c r="AH25" i="72"/>
  <c r="AP26" i="72"/>
  <c r="AH27" i="72"/>
  <c r="AP28" i="72"/>
  <c r="AP29" i="72"/>
  <c r="L33" i="72"/>
  <c r="C34" i="72"/>
  <c r="L34" i="72" s="1"/>
  <c r="D35" i="72"/>
  <c r="M35" i="72" s="1"/>
  <c r="E36" i="72"/>
  <c r="N36" i="72" s="1"/>
  <c r="C39" i="72"/>
  <c r="L39" i="72" s="1"/>
  <c r="D40" i="72"/>
  <c r="M40" i="72" s="1"/>
  <c r="E41" i="72"/>
  <c r="N41" i="72" s="1"/>
  <c r="C43" i="72"/>
  <c r="L43" i="72" s="1"/>
  <c r="D44" i="72"/>
  <c r="M44" i="72" s="1"/>
  <c r="E45" i="72"/>
  <c r="N45" i="72" s="1"/>
  <c r="C47" i="72"/>
  <c r="L47" i="72" s="1"/>
  <c r="D48" i="72"/>
  <c r="M48" i="72" s="1"/>
  <c r="N48" i="72"/>
  <c r="E49" i="72"/>
  <c r="N49" i="72" s="1"/>
  <c r="C51" i="72"/>
  <c r="L51" i="72" s="1"/>
  <c r="D52" i="72"/>
  <c r="M52" i="72" s="1"/>
  <c r="N52" i="72"/>
  <c r="E53" i="72"/>
  <c r="N53" i="72" s="1"/>
  <c r="Q57" i="72"/>
  <c r="Q82" i="72"/>
  <c r="Q107" i="72"/>
  <c r="V132" i="72"/>
  <c r="R157" i="72"/>
  <c r="V232" i="72"/>
  <c r="V257" i="72"/>
  <c r="S132" i="72"/>
  <c r="S157" i="72"/>
  <c r="S182" i="72"/>
  <c r="S207" i="72"/>
  <c r="S232" i="72"/>
  <c r="S257" i="72"/>
  <c r="T157" i="72"/>
  <c r="T182" i="72"/>
  <c r="T207" i="72"/>
  <c r="T232" i="72"/>
  <c r="X232" i="72"/>
  <c r="T257" i="72"/>
  <c r="X257" i="72"/>
  <c r="R282" i="72"/>
  <c r="R307" i="72"/>
  <c r="R332" i="72"/>
  <c r="R357" i="72"/>
  <c r="U382" i="72"/>
  <c r="T382" i="72"/>
  <c r="Q382" i="72"/>
  <c r="Q157" i="72"/>
  <c r="Q182" i="72"/>
  <c r="Q207" i="72"/>
  <c r="Q232" i="72"/>
  <c r="Q257" i="72"/>
  <c r="V282" i="72"/>
  <c r="V307" i="72"/>
  <c r="V332" i="72"/>
  <c r="V357" i="72"/>
  <c r="S282" i="72"/>
  <c r="S307" i="72"/>
  <c r="S332" i="72"/>
  <c r="S357" i="72"/>
  <c r="T282" i="72"/>
  <c r="X282" i="72"/>
  <c r="T307" i="72"/>
  <c r="X307" i="72"/>
  <c r="T332" i="72"/>
  <c r="X332" i="72"/>
  <c r="T357" i="72"/>
  <c r="X357" i="72"/>
  <c r="Q282" i="72"/>
  <c r="Q307" i="72"/>
  <c r="Q332" i="72"/>
  <c r="Q357" i="72"/>
  <c r="Q407" i="72"/>
  <c r="Q432" i="72"/>
  <c r="Q457" i="72"/>
  <c r="Q482" i="72"/>
  <c r="R382" i="72"/>
  <c r="R407" i="72"/>
  <c r="R432" i="72"/>
  <c r="R457" i="72"/>
  <c r="R482" i="72"/>
  <c r="V507" i="72"/>
  <c r="Y582" i="72"/>
  <c r="X582" i="72"/>
  <c r="S582" i="72"/>
  <c r="Q507" i="72"/>
  <c r="Y507" i="72"/>
  <c r="Q532" i="72"/>
  <c r="Y532" i="72"/>
  <c r="Q557" i="72"/>
  <c r="Y557" i="72"/>
  <c r="R532" i="72"/>
  <c r="V532" i="72"/>
  <c r="R557" i="72"/>
  <c r="U632" i="72"/>
  <c r="T632" i="72"/>
  <c r="Q632" i="72"/>
  <c r="W632" i="72"/>
  <c r="V632" i="72"/>
  <c r="R632" i="72"/>
  <c r="Q582" i="72"/>
  <c r="U607" i="72"/>
  <c r="R582" i="72"/>
  <c r="AA5" i="77"/>
  <c r="V5" i="77"/>
  <c r="Z9" i="77"/>
  <c r="R7" i="77"/>
  <c r="S5" i="77"/>
  <c r="Z5" i="77"/>
  <c r="R5" i="77"/>
  <c r="AB13" i="76"/>
  <c r="T13" i="76"/>
  <c r="AB12" i="76"/>
  <c r="T12" i="76"/>
  <c r="X6" i="76"/>
  <c r="Y4" i="76"/>
  <c r="U4" i="76"/>
  <c r="W5" i="77"/>
  <c r="AA12" i="76"/>
  <c r="U7" i="76"/>
  <c r="T4" i="76"/>
  <c r="T8" i="77"/>
  <c r="AA13" i="76"/>
  <c r="S12" i="76"/>
  <c r="S13" i="76"/>
  <c r="AB4" i="76"/>
  <c r="X4" i="76"/>
  <c r="W6" i="76"/>
  <c r="S8" i="74"/>
  <c r="W8" i="74"/>
  <c r="AA8" i="74"/>
  <c r="U9" i="74"/>
  <c r="Y9" i="74"/>
  <c r="AC9" i="74"/>
  <c r="S10" i="74"/>
  <c r="W10" i="74"/>
  <c r="AA10" i="74"/>
  <c r="R38" i="75"/>
  <c r="R50" i="75"/>
  <c r="R48" i="75"/>
  <c r="R46" i="75"/>
  <c r="R44" i="75"/>
  <c r="R42" i="75"/>
  <c r="R40" i="75"/>
  <c r="R51" i="75"/>
  <c r="R43" i="75"/>
  <c r="R36" i="75"/>
  <c r="R14" i="75"/>
  <c r="R8" i="75"/>
  <c r="R49" i="75"/>
  <c r="R37" i="75"/>
  <c r="R6" i="75"/>
  <c r="R47" i="75"/>
  <c r="R41" i="75"/>
  <c r="R13" i="75"/>
  <c r="R9" i="75"/>
  <c r="R45" i="75"/>
  <c r="R4" i="75"/>
  <c r="R7" i="75"/>
  <c r="V38" i="75"/>
  <c r="V50" i="75"/>
  <c r="V48" i="75"/>
  <c r="V46" i="75"/>
  <c r="V44" i="75"/>
  <c r="V42" i="75"/>
  <c r="V40" i="75"/>
  <c r="V49" i="75"/>
  <c r="V41" i="75"/>
  <c r="V36" i="75"/>
  <c r="V14" i="75"/>
  <c r="V8" i="75"/>
  <c r="V47" i="75"/>
  <c r="V6" i="75"/>
  <c r="V45" i="75"/>
  <c r="V43" i="75"/>
  <c r="V13" i="75"/>
  <c r="V9" i="75"/>
  <c r="V7" i="75"/>
  <c r="V4" i="75"/>
  <c r="V37" i="75"/>
  <c r="Z38" i="75"/>
  <c r="Z50" i="75"/>
  <c r="Z48" i="75"/>
  <c r="Z46" i="75"/>
  <c r="Z44" i="75"/>
  <c r="Z42" i="75"/>
  <c r="Z40" i="75"/>
  <c r="Z47" i="75"/>
  <c r="Z43" i="75"/>
  <c r="Z36" i="75"/>
  <c r="Z14" i="75"/>
  <c r="Z8" i="75"/>
  <c r="Z45" i="75"/>
  <c r="Z37" i="75"/>
  <c r="Z6" i="75"/>
  <c r="Z51" i="75"/>
  <c r="Z41" i="75"/>
  <c r="Z13" i="75"/>
  <c r="Z9" i="75"/>
  <c r="Z4" i="75"/>
  <c r="Z49" i="75"/>
  <c r="Z7" i="75"/>
  <c r="R5" i="75"/>
  <c r="R607" i="72"/>
  <c r="T8" i="74"/>
  <c r="X8" i="74"/>
  <c r="AB8" i="74"/>
  <c r="V9" i="74"/>
  <c r="Z9" i="74"/>
  <c r="T10" i="74"/>
  <c r="X10" i="74"/>
  <c r="AB10" i="74"/>
  <c r="V5" i="75"/>
  <c r="V51" i="75"/>
  <c r="H40" i="74"/>
  <c r="L40" i="74"/>
  <c r="P40" i="74"/>
  <c r="T40" i="74"/>
  <c r="X40" i="74"/>
  <c r="AB40" i="74"/>
  <c r="S50" i="75"/>
  <c r="S48" i="75"/>
  <c r="S46" i="75"/>
  <c r="S44" i="75"/>
  <c r="S42" i="75"/>
  <c r="S40" i="75"/>
  <c r="S37" i="75"/>
  <c r="S51" i="75"/>
  <c r="S49" i="75"/>
  <c r="S47" i="75"/>
  <c r="S45" i="75"/>
  <c r="S38" i="75"/>
  <c r="S6" i="75"/>
  <c r="S41" i="75"/>
  <c r="S13" i="75"/>
  <c r="S9" i="75"/>
  <c r="W50" i="75"/>
  <c r="W48" i="75"/>
  <c r="W46" i="75"/>
  <c r="W44" i="75"/>
  <c r="W42" i="75"/>
  <c r="W40" i="75"/>
  <c r="W37" i="75"/>
  <c r="W51" i="75"/>
  <c r="W49" i="75"/>
  <c r="W47" i="75"/>
  <c r="W45" i="75"/>
  <c r="W6" i="75"/>
  <c r="W43" i="75"/>
  <c r="W13" i="75"/>
  <c r="W9" i="75"/>
  <c r="W38" i="75"/>
  <c r="AA50" i="75"/>
  <c r="AA48" i="75"/>
  <c r="AA46" i="75"/>
  <c r="AA44" i="75"/>
  <c r="AA42" i="75"/>
  <c r="AA40" i="75"/>
  <c r="AA37" i="75"/>
  <c r="AA51" i="75"/>
  <c r="AA49" i="75"/>
  <c r="AA47" i="75"/>
  <c r="AA45" i="75"/>
  <c r="AA38" i="75"/>
  <c r="AA6" i="75"/>
  <c r="AA41" i="75"/>
  <c r="AA13" i="75"/>
  <c r="AA9" i="75"/>
  <c r="U4" i="75"/>
  <c r="Y4" i="75"/>
  <c r="S5" i="75"/>
  <c r="W5" i="75"/>
  <c r="AA5" i="75"/>
  <c r="W8" i="75"/>
  <c r="Y9" i="75"/>
  <c r="W14" i="75"/>
  <c r="AA36" i="75"/>
  <c r="Y40" i="75"/>
  <c r="E40" i="74"/>
  <c r="I40" i="74"/>
  <c r="M40" i="74"/>
  <c r="Q40" i="74"/>
  <c r="U40" i="74"/>
  <c r="Y40" i="74"/>
  <c r="AC40" i="74"/>
  <c r="T37" i="75"/>
  <c r="T51" i="75"/>
  <c r="T49" i="75"/>
  <c r="T47" i="75"/>
  <c r="T45" i="75"/>
  <c r="T43" i="75"/>
  <c r="T41" i="75"/>
  <c r="T46" i="75"/>
  <c r="T42" i="75"/>
  <c r="T13" i="75"/>
  <c r="T9" i="75"/>
  <c r="T44" i="75"/>
  <c r="T7" i="75"/>
  <c r="T50" i="75"/>
  <c r="T40" i="75"/>
  <c r="T36" i="75"/>
  <c r="T14" i="75"/>
  <c r="X37" i="75"/>
  <c r="X51" i="75"/>
  <c r="X49" i="75"/>
  <c r="X47" i="75"/>
  <c r="X45" i="75"/>
  <c r="X43" i="75"/>
  <c r="X41" i="75"/>
  <c r="X44" i="75"/>
  <c r="X40" i="75"/>
  <c r="X13" i="75"/>
  <c r="X9" i="75"/>
  <c r="X50" i="75"/>
  <c r="X38" i="75"/>
  <c r="X7" i="75"/>
  <c r="X48" i="75"/>
  <c r="X42" i="75"/>
  <c r="X36" i="75"/>
  <c r="X14" i="75"/>
  <c r="T5" i="75"/>
  <c r="X5" i="75"/>
  <c r="U6" i="75"/>
  <c r="S7" i="75"/>
  <c r="AA7" i="75"/>
  <c r="X8" i="75"/>
  <c r="U13" i="75"/>
  <c r="AA14" i="75"/>
  <c r="S43" i="75"/>
  <c r="F40" i="74"/>
  <c r="J40" i="74"/>
  <c r="N40" i="74"/>
  <c r="R40" i="74"/>
  <c r="V40" i="74"/>
  <c r="U51" i="75"/>
  <c r="U49" i="75"/>
  <c r="U47" i="75"/>
  <c r="U45" i="75"/>
  <c r="U43" i="75"/>
  <c r="U41" i="75"/>
  <c r="U38" i="75"/>
  <c r="U50" i="75"/>
  <c r="U48" i="75"/>
  <c r="U46" i="75"/>
  <c r="U44" i="75"/>
  <c r="U37" i="75"/>
  <c r="U7" i="75"/>
  <c r="U40" i="75"/>
  <c r="U36" i="75"/>
  <c r="U14" i="75"/>
  <c r="U8" i="75"/>
  <c r="Y51" i="75"/>
  <c r="Y49" i="75"/>
  <c r="Y47" i="75"/>
  <c r="Y45" i="75"/>
  <c r="Y43" i="75"/>
  <c r="Y41" i="75"/>
  <c r="Y38" i="75"/>
  <c r="Y50" i="75"/>
  <c r="Y48" i="75"/>
  <c r="Y46" i="75"/>
  <c r="Y44" i="75"/>
  <c r="Y7" i="75"/>
  <c r="Y42" i="75"/>
  <c r="Y36" i="75"/>
  <c r="Y14" i="75"/>
  <c r="Y8" i="75"/>
  <c r="Y37" i="75"/>
  <c r="S4" i="75"/>
  <c r="W4" i="75"/>
  <c r="AA4" i="75"/>
  <c r="U5" i="75"/>
  <c r="Y5" i="75"/>
  <c r="X6" i="75"/>
  <c r="S8" i="75"/>
  <c r="AA8" i="75"/>
  <c r="Y13" i="75"/>
  <c r="S36" i="75"/>
  <c r="U42" i="75"/>
  <c r="AA43" i="75"/>
  <c r="T48" i="75"/>
  <c r="V13" i="76"/>
  <c r="V12" i="76"/>
  <c r="V6" i="76"/>
  <c r="V4" i="76"/>
  <c r="V7" i="76"/>
  <c r="Z13" i="76"/>
  <c r="Z12" i="76"/>
  <c r="Z6" i="76"/>
  <c r="Z7" i="76"/>
  <c r="Z4" i="76"/>
  <c r="Y7" i="76"/>
  <c r="S7" i="76"/>
  <c r="W7" i="76"/>
  <c r="AA7" i="76"/>
  <c r="T9" i="77"/>
  <c r="T5" i="77"/>
  <c r="T7" i="77"/>
  <c r="X9" i="77"/>
  <c r="X7" i="77"/>
  <c r="X5" i="77"/>
  <c r="X8" i="77"/>
  <c r="T7" i="76"/>
  <c r="X7" i="76"/>
  <c r="AB7" i="76"/>
  <c r="S6" i="76"/>
  <c r="AA6" i="76"/>
  <c r="W12" i="76"/>
  <c r="W13" i="76"/>
  <c r="U9" i="77"/>
  <c r="U7" i="77"/>
  <c r="U8" i="77"/>
  <c r="U5" i="77"/>
  <c r="U6" i="77"/>
  <c r="Y9" i="77"/>
  <c r="Y7" i="77"/>
  <c r="Y8" i="77"/>
  <c r="Y5" i="77"/>
  <c r="Y6" i="77"/>
  <c r="T6" i="77"/>
  <c r="U13" i="76"/>
  <c r="U12" i="76"/>
  <c r="U6" i="76"/>
  <c r="Y13" i="76"/>
  <c r="Y12" i="76"/>
  <c r="Y6" i="76"/>
  <c r="S4" i="76"/>
  <c r="W4" i="76"/>
  <c r="AA4" i="76"/>
  <c r="T6" i="76"/>
  <c r="AB6" i="76"/>
  <c r="X12" i="76"/>
  <c r="X13" i="76"/>
  <c r="X6" i="77"/>
  <c r="R8" i="77"/>
  <c r="V8" i="77"/>
  <c r="Z8" i="77"/>
  <c r="R6" i="77"/>
  <c r="V6" i="77"/>
  <c r="Z6" i="77"/>
  <c r="V7" i="77"/>
  <c r="R9" i="77"/>
  <c r="S8" i="77"/>
  <c r="S9" i="77"/>
  <c r="S7" i="77"/>
  <c r="W8" i="77"/>
  <c r="W9" i="77"/>
  <c r="W7" i="77"/>
  <c r="AA8" i="77"/>
  <c r="AA6" i="77"/>
  <c r="AA9" i="77"/>
  <c r="AA7" i="77"/>
  <c r="S6" i="77"/>
  <c r="W6" i="77"/>
  <c r="Z7" i="77"/>
  <c r="V9" i="77"/>
  <c r="G13" i="78"/>
  <c r="G14" i="78"/>
  <c r="G15" i="78"/>
  <c r="K13" i="78"/>
  <c r="K14" i="78"/>
  <c r="K15" i="78"/>
  <c r="O13" i="78"/>
  <c r="O14" i="78"/>
  <c r="O15" i="78"/>
  <c r="S13" i="78"/>
  <c r="S14" i="78"/>
  <c r="S15" i="78"/>
  <c r="W13" i="78"/>
  <c r="W14" i="78"/>
  <c r="W15" i="78"/>
  <c r="AA13" i="78"/>
  <c r="AA14" i="78"/>
  <c r="AA15" i="78"/>
  <c r="F14" i="78"/>
  <c r="J14" i="78"/>
  <c r="R14" i="78"/>
  <c r="V14" i="78"/>
  <c r="Z14" i="78"/>
  <c r="F13" i="78"/>
  <c r="J13" i="78"/>
  <c r="R13" i="78"/>
  <c r="V13" i="78"/>
  <c r="Z13" i="78"/>
  <c r="H15" i="78"/>
  <c r="L15" i="78"/>
  <c r="P15" i="78"/>
  <c r="T15" i="78"/>
  <c r="X15" i="78"/>
  <c r="AB15" i="78"/>
  <c r="H14" i="78"/>
  <c r="L14" i="78"/>
  <c r="P14" i="78"/>
  <c r="T14" i="78"/>
  <c r="X14" i="78"/>
  <c r="AB14" i="78"/>
  <c r="E15" i="78"/>
  <c r="I15" i="78"/>
  <c r="M15" i="78"/>
  <c r="Q15" i="78"/>
  <c r="U15" i="78"/>
  <c r="Y15" i="78"/>
  <c r="AC15" i="78"/>
  <c r="C12" i="78" l="1"/>
  <c r="C35" i="78" s="1"/>
  <c r="S18" i="78"/>
  <c r="C11" i="78"/>
  <c r="C34" i="78" s="1"/>
  <c r="S17" i="78"/>
  <c r="D14" i="78"/>
  <c r="I27" i="78"/>
  <c r="I14" i="78" s="1"/>
  <c r="D47" i="80"/>
  <c r="B16" i="73"/>
  <c r="E30" i="72"/>
  <c r="N27" i="78"/>
  <c r="N14" i="78" s="1"/>
  <c r="C14" i="78" s="1"/>
  <c r="C37" i="78" s="1"/>
  <c r="C17" i="78"/>
  <c r="Y10" i="77"/>
  <c r="C35" i="72"/>
  <c r="L35" i="72" s="1"/>
  <c r="V10" i="77"/>
  <c r="AC22" i="78"/>
  <c r="AC23" i="78" s="1"/>
  <c r="AB5" i="76" s="1"/>
  <c r="Z10" i="77"/>
  <c r="AA22" i="78"/>
  <c r="AA23" i="78" s="1"/>
  <c r="Z5" i="76" s="1"/>
  <c r="W22" i="78"/>
  <c r="W23" i="78" s="1"/>
  <c r="V5" i="76" s="1"/>
  <c r="C15" i="78"/>
  <c r="C38" i="78" s="1"/>
  <c r="N26" i="78"/>
  <c r="N13" i="78" s="1"/>
  <c r="D54" i="72"/>
  <c r="M36" i="72"/>
  <c r="A8" i="77"/>
  <c r="B28" i="79"/>
  <c r="W14" i="76"/>
  <c r="B32" i="79"/>
  <c r="AA14" i="76"/>
  <c r="B33" i="79"/>
  <c r="AB14" i="76"/>
  <c r="S10" i="77"/>
  <c r="AA10" i="77"/>
  <c r="AM14" i="72"/>
  <c r="AU15" i="72"/>
  <c r="Z22" i="78"/>
  <c r="Z23" i="78" s="1"/>
  <c r="Y5" i="76" s="1"/>
  <c r="D53" i="80"/>
  <c r="B17" i="73" s="1"/>
  <c r="Y22" i="78"/>
  <c r="Y23" i="78" s="1"/>
  <c r="X5" i="76" s="1"/>
  <c r="AB22" i="78"/>
  <c r="AB23" i="78" s="1"/>
  <c r="AA5" i="76" s="1"/>
  <c r="U10" i="77"/>
  <c r="X10" i="77"/>
  <c r="T10" i="77"/>
  <c r="B27" i="79"/>
  <c r="V14" i="76"/>
  <c r="B24" i="79"/>
  <c r="S14" i="76"/>
  <c r="B25" i="79"/>
  <c r="T14" i="76"/>
  <c r="AE14" i="72"/>
  <c r="V22" i="78"/>
  <c r="V23" i="78" s="1"/>
  <c r="U5" i="76" s="1"/>
  <c r="U22" i="78"/>
  <c r="U23" i="78" s="1"/>
  <c r="T5" i="76" s="1"/>
  <c r="X22" i="78"/>
  <c r="X23" i="78" s="1"/>
  <c r="W5" i="76" s="1"/>
  <c r="B29" i="79"/>
  <c r="X14" i="76"/>
  <c r="B26" i="79"/>
  <c r="U14" i="76"/>
  <c r="A6" i="77"/>
  <c r="A9" i="77"/>
  <c r="B30" i="79"/>
  <c r="Y14" i="76"/>
  <c r="D7" i="77"/>
  <c r="E7" i="77" s="1"/>
  <c r="F7" i="77" s="1"/>
  <c r="G7" i="77" s="1"/>
  <c r="H7" i="77" s="1"/>
  <c r="I7" i="77" s="1"/>
  <c r="J7" i="77" s="1"/>
  <c r="K7" i="77" s="1"/>
  <c r="L7" i="77" s="1"/>
  <c r="M7" i="77" s="1"/>
  <c r="N7" i="77" s="1"/>
  <c r="O7" i="77" s="1"/>
  <c r="P7" i="77" s="1"/>
  <c r="Q7" i="77" s="1"/>
  <c r="B31" i="79"/>
  <c r="Z14" i="76"/>
  <c r="W10" i="77"/>
  <c r="R10" i="77"/>
  <c r="E54" i="72"/>
  <c r="N34" i="72"/>
  <c r="E78" i="72"/>
  <c r="N78" i="72" s="1"/>
  <c r="D77" i="72"/>
  <c r="M77" i="72" s="1"/>
  <c r="C76" i="72"/>
  <c r="L76" i="72" s="1"/>
  <c r="E74" i="72"/>
  <c r="N74" i="72" s="1"/>
  <c r="D73" i="72"/>
  <c r="M73" i="72" s="1"/>
  <c r="C72" i="72"/>
  <c r="L72" i="72" s="1"/>
  <c r="E70" i="72"/>
  <c r="N70" i="72" s="1"/>
  <c r="D69" i="72"/>
  <c r="M69" i="72" s="1"/>
  <c r="C68" i="72"/>
  <c r="L68" i="72" s="1"/>
  <c r="E66" i="72"/>
  <c r="N66" i="72" s="1"/>
  <c r="D65" i="72"/>
  <c r="M65" i="72" s="1"/>
  <c r="C64" i="72"/>
  <c r="L64" i="72" s="1"/>
  <c r="E62" i="72"/>
  <c r="N62" i="72" s="1"/>
  <c r="D61" i="72"/>
  <c r="M61" i="72" s="1"/>
  <c r="C60" i="72"/>
  <c r="L60" i="72" s="1"/>
  <c r="E76" i="72"/>
  <c r="N76" i="72" s="1"/>
  <c r="E72" i="72"/>
  <c r="N72" i="72" s="1"/>
  <c r="D71" i="72"/>
  <c r="M71" i="72" s="1"/>
  <c r="C70" i="72"/>
  <c r="L70" i="72" s="1"/>
  <c r="E68" i="72"/>
  <c r="N68" i="72" s="1"/>
  <c r="D67" i="72"/>
  <c r="M67" i="72" s="1"/>
  <c r="E64" i="72"/>
  <c r="N64" i="72" s="1"/>
  <c r="D63" i="72"/>
  <c r="M63" i="72" s="1"/>
  <c r="M58" i="72"/>
  <c r="A81" i="72"/>
  <c r="D78" i="72"/>
  <c r="M78" i="72" s="1"/>
  <c r="C77" i="72"/>
  <c r="L77" i="72" s="1"/>
  <c r="E75" i="72"/>
  <c r="N75" i="72" s="1"/>
  <c r="D74" i="72"/>
  <c r="M74" i="72" s="1"/>
  <c r="C73" i="72"/>
  <c r="L73" i="72" s="1"/>
  <c r="E71" i="72"/>
  <c r="N71" i="72" s="1"/>
  <c r="D70" i="72"/>
  <c r="M70" i="72" s="1"/>
  <c r="C69" i="72"/>
  <c r="L69" i="72" s="1"/>
  <c r="E67" i="72"/>
  <c r="N67" i="72" s="1"/>
  <c r="D66" i="72"/>
  <c r="M66" i="72" s="1"/>
  <c r="C65" i="72"/>
  <c r="L65" i="72" s="1"/>
  <c r="E63" i="72"/>
  <c r="N63" i="72" s="1"/>
  <c r="E59" i="72"/>
  <c r="N59" i="72" s="1"/>
  <c r="N58" i="72"/>
  <c r="C78" i="72"/>
  <c r="L78" i="72" s="1"/>
  <c r="D75" i="72"/>
  <c r="M75" i="72" s="1"/>
  <c r="C74" i="72"/>
  <c r="L74" i="72" s="1"/>
  <c r="C66" i="72"/>
  <c r="L66" i="72" s="1"/>
  <c r="C62" i="72"/>
  <c r="L62" i="72" s="1"/>
  <c r="D59" i="72"/>
  <c r="M59" i="72" s="1"/>
  <c r="E77" i="72"/>
  <c r="N77" i="72" s="1"/>
  <c r="D72" i="72"/>
  <c r="M72" i="72" s="1"/>
  <c r="C67" i="72"/>
  <c r="L67" i="72" s="1"/>
  <c r="E61" i="72"/>
  <c r="N61" i="72" s="1"/>
  <c r="C71" i="72"/>
  <c r="L71" i="72" s="1"/>
  <c r="E65" i="72"/>
  <c r="N65" i="72" s="1"/>
  <c r="D60" i="72"/>
  <c r="M60" i="72" s="1"/>
  <c r="E69" i="72"/>
  <c r="N69" i="72" s="1"/>
  <c r="C59" i="72"/>
  <c r="L59" i="72" s="1"/>
  <c r="L58" i="72"/>
  <c r="D76" i="72"/>
  <c r="M76" i="72" s="1"/>
  <c r="C75" i="72"/>
  <c r="L75" i="72" s="1"/>
  <c r="D64" i="72"/>
  <c r="M64" i="72" s="1"/>
  <c r="E73" i="72"/>
  <c r="N73" i="72" s="1"/>
  <c r="D68" i="72"/>
  <c r="M68" i="72" s="1"/>
  <c r="C63" i="72"/>
  <c r="L63" i="72" s="1"/>
  <c r="C20" i="78" l="1"/>
  <c r="C18" i="78"/>
  <c r="C21" i="78"/>
  <c r="M54" i="72"/>
  <c r="M55" i="72" s="1"/>
  <c r="D62" i="72"/>
  <c r="M62" i="72" s="1"/>
  <c r="D88" i="72" s="1"/>
  <c r="M88" i="72" s="1"/>
  <c r="C13" i="78"/>
  <c r="C36" i="78" s="1"/>
  <c r="C61" i="72"/>
  <c r="L61" i="72" s="1"/>
  <c r="C87" i="72" s="1"/>
  <c r="L87" i="72" s="1"/>
  <c r="C54" i="72"/>
  <c r="L54" i="72"/>
  <c r="L55" i="72" s="1"/>
  <c r="A7" i="77"/>
  <c r="AE15" i="72"/>
  <c r="E103" i="72"/>
  <c r="N103" i="72" s="1"/>
  <c r="D102" i="72"/>
  <c r="M102" i="72" s="1"/>
  <c r="C101" i="72"/>
  <c r="L101" i="72" s="1"/>
  <c r="E99" i="72"/>
  <c r="N99" i="72" s="1"/>
  <c r="D98" i="72"/>
  <c r="M98" i="72" s="1"/>
  <c r="C97" i="72"/>
  <c r="L97" i="72" s="1"/>
  <c r="E95" i="72"/>
  <c r="N95" i="72" s="1"/>
  <c r="D94" i="72"/>
  <c r="C93" i="72"/>
  <c r="L93" i="72" s="1"/>
  <c r="E91" i="72"/>
  <c r="N91" i="72" s="1"/>
  <c r="D90" i="72"/>
  <c r="M90" i="72" s="1"/>
  <c r="C89" i="72"/>
  <c r="L89" i="72" s="1"/>
  <c r="E87" i="72"/>
  <c r="N87" i="72" s="1"/>
  <c r="D86" i="72"/>
  <c r="M86" i="72" s="1"/>
  <c r="C85" i="72"/>
  <c r="L85" i="72" s="1"/>
  <c r="C103" i="72"/>
  <c r="L103" i="72" s="1"/>
  <c r="D100" i="72"/>
  <c r="M100" i="72" s="1"/>
  <c r="D96" i="72"/>
  <c r="M96" i="72" s="1"/>
  <c r="C91" i="72"/>
  <c r="L91" i="72" s="1"/>
  <c r="E85" i="72"/>
  <c r="N85" i="72" s="1"/>
  <c r="D84" i="72"/>
  <c r="M84" i="72" s="1"/>
  <c r="M83" i="72"/>
  <c r="D97" i="72"/>
  <c r="M97" i="72" s="1"/>
  <c r="D93" i="72"/>
  <c r="M93" i="72" s="1"/>
  <c r="C92" i="72"/>
  <c r="L92" i="72" s="1"/>
  <c r="E90" i="72"/>
  <c r="N90" i="72" s="1"/>
  <c r="D85" i="72"/>
  <c r="M85" i="72" s="1"/>
  <c r="A106" i="72"/>
  <c r="D103" i="72"/>
  <c r="M103" i="72" s="1"/>
  <c r="C102" i="72"/>
  <c r="L102" i="72" s="1"/>
  <c r="E100" i="72"/>
  <c r="N100" i="72" s="1"/>
  <c r="D99" i="72"/>
  <c r="M99" i="72" s="1"/>
  <c r="C98" i="72"/>
  <c r="L98" i="72" s="1"/>
  <c r="E96" i="72"/>
  <c r="N96" i="72" s="1"/>
  <c r="D95" i="72"/>
  <c r="M95" i="72" s="1"/>
  <c r="M94" i="72"/>
  <c r="C94" i="72"/>
  <c r="L94" i="72" s="1"/>
  <c r="E92" i="72"/>
  <c r="N92" i="72" s="1"/>
  <c r="D91" i="72"/>
  <c r="M91" i="72" s="1"/>
  <c r="C90" i="72"/>
  <c r="L90" i="72" s="1"/>
  <c r="E88" i="72"/>
  <c r="N88" i="72" s="1"/>
  <c r="D87" i="72"/>
  <c r="M87" i="72" s="1"/>
  <c r="C86" i="72"/>
  <c r="L86" i="72" s="1"/>
  <c r="E84" i="72"/>
  <c r="N84" i="72" s="1"/>
  <c r="N83" i="72"/>
  <c r="E101" i="72"/>
  <c r="N101" i="72" s="1"/>
  <c r="C99" i="72"/>
  <c r="L99" i="72" s="1"/>
  <c r="E97" i="72"/>
  <c r="N97" i="72" s="1"/>
  <c r="C95" i="72"/>
  <c r="L95" i="72" s="1"/>
  <c r="E93" i="72"/>
  <c r="N93" i="72" s="1"/>
  <c r="D92" i="72"/>
  <c r="M92" i="72" s="1"/>
  <c r="E89" i="72"/>
  <c r="N89" i="72" s="1"/>
  <c r="E102" i="72"/>
  <c r="N102" i="72" s="1"/>
  <c r="D101" i="72"/>
  <c r="M101" i="72" s="1"/>
  <c r="C100" i="72"/>
  <c r="L100" i="72" s="1"/>
  <c r="E98" i="72"/>
  <c r="N98" i="72" s="1"/>
  <c r="C96" i="72"/>
  <c r="L96" i="72" s="1"/>
  <c r="E94" i="72"/>
  <c r="N94" i="72" s="1"/>
  <c r="D89" i="72"/>
  <c r="M89" i="72" s="1"/>
  <c r="C88" i="72"/>
  <c r="L88" i="72" s="1"/>
  <c r="C84" i="72"/>
  <c r="L84" i="72" s="1"/>
  <c r="L83" i="72"/>
  <c r="E60" i="72"/>
  <c r="N60" i="72" s="1"/>
  <c r="N79" i="72" s="1"/>
  <c r="N80" i="72" s="1"/>
  <c r="AM15" i="72"/>
  <c r="D35" i="74"/>
  <c r="E35" i="74" s="1"/>
  <c r="F35" i="74" s="1"/>
  <c r="G35" i="74" s="1"/>
  <c r="H35" i="74" s="1"/>
  <c r="I35" i="74" s="1"/>
  <c r="J35" i="74" s="1"/>
  <c r="K35" i="74" s="1"/>
  <c r="L35" i="74" s="1"/>
  <c r="M35" i="74" s="1"/>
  <c r="N35" i="74" s="1"/>
  <c r="O35" i="74" s="1"/>
  <c r="P35" i="74" s="1"/>
  <c r="Q35" i="74" s="1"/>
  <c r="R35" i="74" s="1"/>
  <c r="S35" i="74" s="1"/>
  <c r="T35" i="74" s="1"/>
  <c r="U35" i="74" s="1"/>
  <c r="V35" i="74" s="1"/>
  <c r="W35" i="74" s="1"/>
  <c r="X35" i="74" s="1"/>
  <c r="Y35" i="74" s="1"/>
  <c r="Z35" i="74" s="1"/>
  <c r="AA35" i="74" s="1"/>
  <c r="AB35" i="74" s="1"/>
  <c r="AC35" i="74" s="1"/>
  <c r="N54" i="72"/>
  <c r="N55" i="72" s="1"/>
  <c r="AU16" i="72"/>
  <c r="M79" i="72" l="1"/>
  <c r="M80" i="72" s="1"/>
  <c r="D79" i="72"/>
  <c r="L79" i="72"/>
  <c r="L80" i="72" s="1"/>
  <c r="C19" i="78"/>
  <c r="C79" i="72"/>
  <c r="E55" i="72"/>
  <c r="AM16" i="72"/>
  <c r="D104" i="72"/>
  <c r="E79" i="72"/>
  <c r="AE16" i="72"/>
  <c r="L104" i="72"/>
  <c r="L105" i="72" s="1"/>
  <c r="AU17" i="72"/>
  <c r="C104" i="72"/>
  <c r="A131" i="72"/>
  <c r="D128" i="72"/>
  <c r="M128" i="72" s="1"/>
  <c r="C127" i="72"/>
  <c r="L127" i="72" s="1"/>
  <c r="E125" i="72"/>
  <c r="N125" i="72" s="1"/>
  <c r="D124" i="72"/>
  <c r="M124" i="72" s="1"/>
  <c r="C123" i="72"/>
  <c r="L123" i="72" s="1"/>
  <c r="E121" i="72"/>
  <c r="N121" i="72" s="1"/>
  <c r="C128" i="72"/>
  <c r="L128" i="72" s="1"/>
  <c r="E126" i="72"/>
  <c r="N126" i="72" s="1"/>
  <c r="E127" i="72"/>
  <c r="N127" i="72" s="1"/>
  <c r="D125" i="72"/>
  <c r="M125" i="72" s="1"/>
  <c r="E123" i="72"/>
  <c r="N123" i="72" s="1"/>
  <c r="C122" i="72"/>
  <c r="L122" i="72" s="1"/>
  <c r="E120" i="72"/>
  <c r="N120" i="72" s="1"/>
  <c r="D119" i="72"/>
  <c r="M119" i="72" s="1"/>
  <c r="C118" i="72"/>
  <c r="L118" i="72" s="1"/>
  <c r="E116" i="72"/>
  <c r="N116" i="72" s="1"/>
  <c r="D115" i="72"/>
  <c r="M115" i="72" s="1"/>
  <c r="C114" i="72"/>
  <c r="L114" i="72" s="1"/>
  <c r="D111" i="72"/>
  <c r="M111" i="72" s="1"/>
  <c r="C110" i="72"/>
  <c r="L110" i="72" s="1"/>
  <c r="E118" i="72"/>
  <c r="N118" i="72" s="1"/>
  <c r="C116" i="72"/>
  <c r="L116" i="72" s="1"/>
  <c r="D113" i="72"/>
  <c r="M113" i="72" s="1"/>
  <c r="C112" i="72"/>
  <c r="L112" i="72" s="1"/>
  <c r="D109" i="72"/>
  <c r="E128" i="72"/>
  <c r="N128" i="72" s="1"/>
  <c r="C124" i="72"/>
  <c r="L124" i="72" s="1"/>
  <c r="D118" i="72"/>
  <c r="M118" i="72" s="1"/>
  <c r="E115" i="72"/>
  <c r="N115" i="72" s="1"/>
  <c r="C113" i="72"/>
  <c r="L113" i="72" s="1"/>
  <c r="E111" i="72"/>
  <c r="N111" i="72" s="1"/>
  <c r="C109" i="72"/>
  <c r="L109" i="72" s="1"/>
  <c r="D127" i="72"/>
  <c r="M127" i="72" s="1"/>
  <c r="C125" i="72"/>
  <c r="L125" i="72" s="1"/>
  <c r="D123" i="72"/>
  <c r="M123" i="72" s="1"/>
  <c r="D121" i="72"/>
  <c r="M121" i="72" s="1"/>
  <c r="D120" i="72"/>
  <c r="M120" i="72" s="1"/>
  <c r="C119" i="72"/>
  <c r="L119" i="72" s="1"/>
  <c r="E117" i="72"/>
  <c r="N117" i="72" s="1"/>
  <c r="D116" i="72"/>
  <c r="M116" i="72" s="1"/>
  <c r="C115" i="72"/>
  <c r="L115" i="72" s="1"/>
  <c r="E113" i="72"/>
  <c r="N113" i="72" s="1"/>
  <c r="D112" i="72"/>
  <c r="M112" i="72" s="1"/>
  <c r="C111" i="72"/>
  <c r="L111" i="72" s="1"/>
  <c r="E109" i="72"/>
  <c r="N108" i="72"/>
  <c r="D126" i="72"/>
  <c r="M126" i="72" s="1"/>
  <c r="E124" i="72"/>
  <c r="N124" i="72" s="1"/>
  <c r="E122" i="72"/>
  <c r="N122" i="72" s="1"/>
  <c r="C121" i="72"/>
  <c r="L121" i="72" s="1"/>
  <c r="C120" i="72"/>
  <c r="L120" i="72" s="1"/>
  <c r="D117" i="72"/>
  <c r="M117" i="72" s="1"/>
  <c r="E114" i="72"/>
  <c r="N114" i="72" s="1"/>
  <c r="E110" i="72"/>
  <c r="N110" i="72" s="1"/>
  <c r="M108" i="72"/>
  <c r="C126" i="72"/>
  <c r="L126" i="72" s="1"/>
  <c r="D122" i="72"/>
  <c r="M122" i="72" s="1"/>
  <c r="E119" i="72"/>
  <c r="N119" i="72" s="1"/>
  <c r="C117" i="72"/>
  <c r="L117" i="72" s="1"/>
  <c r="D114" i="72"/>
  <c r="M114" i="72" s="1"/>
  <c r="D110" i="72"/>
  <c r="M110" i="72" s="1"/>
  <c r="L108" i="72"/>
  <c r="E86" i="72"/>
  <c r="N86" i="72" s="1"/>
  <c r="N104" i="72" s="1"/>
  <c r="N105" i="72" s="1"/>
  <c r="M104" i="72"/>
  <c r="M105" i="72" s="1"/>
  <c r="E80" i="72" l="1"/>
  <c r="L129" i="72"/>
  <c r="L130" i="72" s="1"/>
  <c r="AE17" i="72"/>
  <c r="AM17" i="72"/>
  <c r="D129" i="72"/>
  <c r="N109" i="72"/>
  <c r="E135" i="72" s="1"/>
  <c r="N135" i="72" s="1"/>
  <c r="M109" i="72"/>
  <c r="D135" i="72" s="1"/>
  <c r="M135" i="72" s="1"/>
  <c r="E153" i="72"/>
  <c r="N153" i="72" s="1"/>
  <c r="D152" i="72"/>
  <c r="M152" i="72" s="1"/>
  <c r="C151" i="72"/>
  <c r="L151" i="72" s="1"/>
  <c r="E149" i="72"/>
  <c r="N149" i="72" s="1"/>
  <c r="D148" i="72"/>
  <c r="M148" i="72" s="1"/>
  <c r="C147" i="72"/>
  <c r="L147" i="72" s="1"/>
  <c r="E145" i="72"/>
  <c r="N145" i="72" s="1"/>
  <c r="D144" i="72"/>
  <c r="M144" i="72" s="1"/>
  <c r="C143" i="72"/>
  <c r="L143" i="72" s="1"/>
  <c r="E141" i="72"/>
  <c r="N141" i="72" s="1"/>
  <c r="D140" i="72"/>
  <c r="M140" i="72" s="1"/>
  <c r="C139" i="72"/>
  <c r="L139" i="72" s="1"/>
  <c r="A156" i="72"/>
  <c r="D153" i="72"/>
  <c r="M153" i="72" s="1"/>
  <c r="C152" i="72"/>
  <c r="L152" i="72" s="1"/>
  <c r="E150" i="72"/>
  <c r="N150" i="72" s="1"/>
  <c r="D149" i="72"/>
  <c r="M149" i="72" s="1"/>
  <c r="C148" i="72"/>
  <c r="L148" i="72" s="1"/>
  <c r="E146" i="72"/>
  <c r="N146" i="72" s="1"/>
  <c r="D145" i="72"/>
  <c r="M145" i="72" s="1"/>
  <c r="C144" i="72"/>
  <c r="L144" i="72" s="1"/>
  <c r="E142" i="72"/>
  <c r="N142" i="72" s="1"/>
  <c r="D141" i="72"/>
  <c r="M141" i="72" s="1"/>
  <c r="C140" i="72"/>
  <c r="L140" i="72" s="1"/>
  <c r="D137" i="72"/>
  <c r="M137" i="72" s="1"/>
  <c r="C136" i="72"/>
  <c r="L136" i="72" s="1"/>
  <c r="E134" i="72"/>
  <c r="N134" i="72" s="1"/>
  <c r="N133" i="72"/>
  <c r="C153" i="72"/>
  <c r="L153" i="72" s="1"/>
  <c r="E151" i="72"/>
  <c r="N151" i="72" s="1"/>
  <c r="D150" i="72"/>
  <c r="M150" i="72" s="1"/>
  <c r="C149" i="72"/>
  <c r="L149" i="72" s="1"/>
  <c r="E147" i="72"/>
  <c r="N147" i="72" s="1"/>
  <c r="D146" i="72"/>
  <c r="M146" i="72" s="1"/>
  <c r="C145" i="72"/>
  <c r="L145" i="72" s="1"/>
  <c r="E143" i="72"/>
  <c r="N143" i="72" s="1"/>
  <c r="D142" i="72"/>
  <c r="M142" i="72" s="1"/>
  <c r="C141" i="72"/>
  <c r="L141" i="72" s="1"/>
  <c r="E139" i="72"/>
  <c r="N139" i="72" s="1"/>
  <c r="D138" i="72"/>
  <c r="M138" i="72" s="1"/>
  <c r="C137" i="72"/>
  <c r="L137" i="72" s="1"/>
  <c r="D134" i="72"/>
  <c r="M133" i="72"/>
  <c r="E152" i="72"/>
  <c r="N152" i="72" s="1"/>
  <c r="D147" i="72"/>
  <c r="M147" i="72" s="1"/>
  <c r="C142" i="72"/>
  <c r="L142" i="72" s="1"/>
  <c r="C138" i="72"/>
  <c r="L138" i="72" s="1"/>
  <c r="C150" i="72"/>
  <c r="L150" i="72" s="1"/>
  <c r="E144" i="72"/>
  <c r="N144" i="72" s="1"/>
  <c r="C134" i="72"/>
  <c r="L134" i="72" s="1"/>
  <c r="L133" i="72"/>
  <c r="D151" i="72"/>
  <c r="M151" i="72" s="1"/>
  <c r="C146" i="72"/>
  <c r="L146" i="72" s="1"/>
  <c r="E140" i="72"/>
  <c r="N140" i="72" s="1"/>
  <c r="E137" i="72"/>
  <c r="N137" i="72" s="1"/>
  <c r="C135" i="72"/>
  <c r="L135" i="72" s="1"/>
  <c r="D139" i="72"/>
  <c r="M139" i="72" s="1"/>
  <c r="E136" i="72"/>
  <c r="N136" i="72" s="1"/>
  <c r="E148" i="72"/>
  <c r="N148" i="72" s="1"/>
  <c r="D143" i="72"/>
  <c r="M143" i="72" s="1"/>
  <c r="D136" i="72"/>
  <c r="M136" i="72" s="1"/>
  <c r="AU18" i="72"/>
  <c r="E105" i="72"/>
  <c r="C129" i="72"/>
  <c r="E112" i="72"/>
  <c r="N112" i="72" s="1"/>
  <c r="N129" i="72" s="1"/>
  <c r="N130" i="72" s="1"/>
  <c r="E104" i="72"/>
  <c r="M129" i="72" l="1"/>
  <c r="M130" i="72" s="1"/>
  <c r="E130" i="72" s="1"/>
  <c r="C154" i="72"/>
  <c r="E138" i="72"/>
  <c r="N138" i="72" s="1"/>
  <c r="N154" i="72" s="1"/>
  <c r="N155" i="72" s="1"/>
  <c r="E178" i="72"/>
  <c r="N178" i="72" s="1"/>
  <c r="D177" i="72"/>
  <c r="M177" i="72" s="1"/>
  <c r="C176" i="72"/>
  <c r="L176" i="72" s="1"/>
  <c r="E174" i="72"/>
  <c r="N174" i="72" s="1"/>
  <c r="D173" i="72"/>
  <c r="M173" i="72" s="1"/>
  <c r="C172" i="72"/>
  <c r="L172" i="72" s="1"/>
  <c r="E170" i="72"/>
  <c r="N170" i="72" s="1"/>
  <c r="D169" i="72"/>
  <c r="M169" i="72" s="1"/>
  <c r="C168" i="72"/>
  <c r="L168" i="72" s="1"/>
  <c r="E166" i="72"/>
  <c r="N166" i="72" s="1"/>
  <c r="D165" i="72"/>
  <c r="M165" i="72" s="1"/>
  <c r="C164" i="72"/>
  <c r="L164" i="72" s="1"/>
  <c r="E162" i="72"/>
  <c r="N162" i="72" s="1"/>
  <c r="D161" i="72"/>
  <c r="M161" i="72" s="1"/>
  <c r="C160" i="72"/>
  <c r="L160" i="72" s="1"/>
  <c r="A181" i="72"/>
  <c r="D178" i="72"/>
  <c r="M178" i="72" s="1"/>
  <c r="C177" i="72"/>
  <c r="L177" i="72" s="1"/>
  <c r="E175" i="72"/>
  <c r="N175" i="72" s="1"/>
  <c r="D174" i="72"/>
  <c r="M174" i="72" s="1"/>
  <c r="C173" i="72"/>
  <c r="L173" i="72" s="1"/>
  <c r="E171" i="72"/>
  <c r="N171" i="72" s="1"/>
  <c r="D170" i="72"/>
  <c r="M170" i="72" s="1"/>
  <c r="C169" i="72"/>
  <c r="L169" i="72" s="1"/>
  <c r="E167" i="72"/>
  <c r="N167" i="72" s="1"/>
  <c r="D166" i="72"/>
  <c r="M166" i="72" s="1"/>
  <c r="C165" i="72"/>
  <c r="L165" i="72" s="1"/>
  <c r="E163" i="72"/>
  <c r="N163" i="72" s="1"/>
  <c r="D162" i="72"/>
  <c r="M162" i="72" s="1"/>
  <c r="C161" i="72"/>
  <c r="L161" i="72" s="1"/>
  <c r="E159" i="72"/>
  <c r="N159" i="72" s="1"/>
  <c r="N158" i="72"/>
  <c r="C178" i="72"/>
  <c r="L178" i="72" s="1"/>
  <c r="E176" i="72"/>
  <c r="N176" i="72" s="1"/>
  <c r="D175" i="72"/>
  <c r="M175" i="72" s="1"/>
  <c r="C174" i="72"/>
  <c r="L174" i="72" s="1"/>
  <c r="E172" i="72"/>
  <c r="N172" i="72" s="1"/>
  <c r="D171" i="72"/>
  <c r="M171" i="72" s="1"/>
  <c r="C170" i="72"/>
  <c r="L170" i="72" s="1"/>
  <c r="E168" i="72"/>
  <c r="N168" i="72" s="1"/>
  <c r="D167" i="72"/>
  <c r="M167" i="72" s="1"/>
  <c r="C166" i="72"/>
  <c r="L166" i="72" s="1"/>
  <c r="D163" i="72"/>
  <c r="M163" i="72" s="1"/>
  <c r="C162" i="72"/>
  <c r="L162" i="72" s="1"/>
  <c r="E160" i="72"/>
  <c r="N160" i="72" s="1"/>
  <c r="D159" i="72"/>
  <c r="M158" i="72"/>
  <c r="D176" i="72"/>
  <c r="M176" i="72" s="1"/>
  <c r="C171" i="72"/>
  <c r="L171" i="72" s="1"/>
  <c r="E165" i="72"/>
  <c r="N165" i="72" s="1"/>
  <c r="D168" i="72"/>
  <c r="M168" i="72" s="1"/>
  <c r="C163" i="72"/>
  <c r="L163" i="72" s="1"/>
  <c r="E177" i="72"/>
  <c r="N177" i="72" s="1"/>
  <c r="C167" i="72"/>
  <c r="L167" i="72" s="1"/>
  <c r="E161" i="72"/>
  <c r="N161" i="72" s="1"/>
  <c r="C175" i="72"/>
  <c r="L175" i="72" s="1"/>
  <c r="E169" i="72"/>
  <c r="N169" i="72" s="1"/>
  <c r="D164" i="72"/>
  <c r="M164" i="72" s="1"/>
  <c r="C159" i="72"/>
  <c r="L158" i="72"/>
  <c r="E173" i="72"/>
  <c r="N173" i="72" s="1"/>
  <c r="D172" i="72"/>
  <c r="M172" i="72" s="1"/>
  <c r="AM18" i="72"/>
  <c r="D154" i="72"/>
  <c r="AU19" i="72"/>
  <c r="M134" i="72"/>
  <c r="AE18" i="72"/>
  <c r="E129" i="72"/>
  <c r="L154" i="72"/>
  <c r="L155" i="72" s="1"/>
  <c r="E164" i="72" l="1"/>
  <c r="N164" i="72" s="1"/>
  <c r="N179" i="72" s="1"/>
  <c r="N180" i="72" s="1"/>
  <c r="E154" i="72"/>
  <c r="M159" i="72"/>
  <c r="M154" i="72"/>
  <c r="M155" i="72" s="1"/>
  <c r="E155" i="72" s="1"/>
  <c r="AE19" i="72"/>
  <c r="AU20" i="72"/>
  <c r="D160" i="72"/>
  <c r="M160" i="72" s="1"/>
  <c r="D186" i="72" s="1"/>
  <c r="M186" i="72" s="1"/>
  <c r="AM19" i="72"/>
  <c r="E203" i="72"/>
  <c r="N203" i="72" s="1"/>
  <c r="D202" i="72"/>
  <c r="M202" i="72" s="1"/>
  <c r="C201" i="72"/>
  <c r="L201" i="72" s="1"/>
  <c r="E199" i="72"/>
  <c r="N199" i="72" s="1"/>
  <c r="D198" i="72"/>
  <c r="M198" i="72" s="1"/>
  <c r="C197" i="72"/>
  <c r="L197" i="72" s="1"/>
  <c r="E195" i="72"/>
  <c r="N195" i="72" s="1"/>
  <c r="D194" i="72"/>
  <c r="M194" i="72" s="1"/>
  <c r="C193" i="72"/>
  <c r="L193" i="72" s="1"/>
  <c r="E191" i="72"/>
  <c r="N191" i="72" s="1"/>
  <c r="D190" i="72"/>
  <c r="M190" i="72" s="1"/>
  <c r="C189" i="72"/>
  <c r="L189" i="72" s="1"/>
  <c r="E187" i="72"/>
  <c r="N187" i="72" s="1"/>
  <c r="A206" i="72"/>
  <c r="D203" i="72"/>
  <c r="M203" i="72" s="1"/>
  <c r="C202" i="72"/>
  <c r="L202" i="72" s="1"/>
  <c r="E200" i="72"/>
  <c r="N200" i="72" s="1"/>
  <c r="D199" i="72"/>
  <c r="M199" i="72" s="1"/>
  <c r="C198" i="72"/>
  <c r="L198" i="72" s="1"/>
  <c r="E196" i="72"/>
  <c r="N196" i="72" s="1"/>
  <c r="D195" i="72"/>
  <c r="M195" i="72" s="1"/>
  <c r="C194" i="72"/>
  <c r="L194" i="72" s="1"/>
  <c r="E192" i="72"/>
  <c r="N192" i="72" s="1"/>
  <c r="D191" i="72"/>
  <c r="M191" i="72" s="1"/>
  <c r="C190" i="72"/>
  <c r="L190" i="72" s="1"/>
  <c r="E188" i="72"/>
  <c r="N188" i="72" s="1"/>
  <c r="D187" i="72"/>
  <c r="M187" i="72" s="1"/>
  <c r="C186" i="72"/>
  <c r="L186" i="72" s="1"/>
  <c r="E184" i="72"/>
  <c r="N184" i="72" s="1"/>
  <c r="N183" i="72"/>
  <c r="C203" i="72"/>
  <c r="L203" i="72" s="1"/>
  <c r="E201" i="72"/>
  <c r="N201" i="72" s="1"/>
  <c r="D200" i="72"/>
  <c r="M200" i="72" s="1"/>
  <c r="C199" i="72"/>
  <c r="L199" i="72" s="1"/>
  <c r="E197" i="72"/>
  <c r="N197" i="72" s="1"/>
  <c r="D196" i="72"/>
  <c r="M196" i="72" s="1"/>
  <c r="C195" i="72"/>
  <c r="L195" i="72" s="1"/>
  <c r="E193" i="72"/>
  <c r="N193" i="72" s="1"/>
  <c r="D192" i="72"/>
  <c r="M192" i="72" s="1"/>
  <c r="C191" i="72"/>
  <c r="L191" i="72" s="1"/>
  <c r="E189" i="72"/>
  <c r="N189" i="72" s="1"/>
  <c r="D188" i="72"/>
  <c r="M188" i="72" s="1"/>
  <c r="C187" i="72"/>
  <c r="L187" i="72" s="1"/>
  <c r="E185" i="72"/>
  <c r="D184" i="72"/>
  <c r="M184" i="72" s="1"/>
  <c r="M183" i="72"/>
  <c r="C200" i="72"/>
  <c r="L200" i="72" s="1"/>
  <c r="E194" i="72"/>
  <c r="N194" i="72" s="1"/>
  <c r="D189" i="72"/>
  <c r="M189" i="72" s="1"/>
  <c r="C184" i="72"/>
  <c r="L183" i="72"/>
  <c r="E202" i="72"/>
  <c r="N202" i="72" s="1"/>
  <c r="D197" i="72"/>
  <c r="M197" i="72" s="1"/>
  <c r="C192" i="72"/>
  <c r="L192" i="72" s="1"/>
  <c r="E186" i="72"/>
  <c r="N186" i="72" s="1"/>
  <c r="C196" i="72"/>
  <c r="L196" i="72" s="1"/>
  <c r="E198" i="72"/>
  <c r="N198" i="72" s="1"/>
  <c r="D193" i="72"/>
  <c r="M193" i="72" s="1"/>
  <c r="C188" i="72"/>
  <c r="L188" i="72" s="1"/>
  <c r="N185" i="72"/>
  <c r="D201" i="72"/>
  <c r="M201" i="72" s="1"/>
  <c r="E190" i="72"/>
  <c r="N190" i="72" s="1"/>
  <c r="C179" i="72"/>
  <c r="L159" i="72"/>
  <c r="C185" i="72" s="1"/>
  <c r="L185" i="72" s="1"/>
  <c r="E179" i="72" l="1"/>
  <c r="M179" i="72"/>
  <c r="M180" i="72" s="1"/>
  <c r="D185" i="72"/>
  <c r="M185" i="72" s="1"/>
  <c r="D211" i="72" s="1"/>
  <c r="M211" i="72" s="1"/>
  <c r="N204" i="72"/>
  <c r="N205" i="72" s="1"/>
  <c r="C204" i="72"/>
  <c r="E204" i="72"/>
  <c r="E228" i="72"/>
  <c r="N228" i="72" s="1"/>
  <c r="D227" i="72"/>
  <c r="M227" i="72" s="1"/>
  <c r="C226" i="72"/>
  <c r="L226" i="72" s="1"/>
  <c r="E224" i="72"/>
  <c r="N224" i="72" s="1"/>
  <c r="D223" i="72"/>
  <c r="M223" i="72" s="1"/>
  <c r="C222" i="72"/>
  <c r="L222" i="72" s="1"/>
  <c r="E220" i="72"/>
  <c r="N220" i="72" s="1"/>
  <c r="D219" i="72"/>
  <c r="M219" i="72" s="1"/>
  <c r="C218" i="72"/>
  <c r="L218" i="72" s="1"/>
  <c r="E216" i="72"/>
  <c r="N216" i="72" s="1"/>
  <c r="D215" i="72"/>
  <c r="M215" i="72" s="1"/>
  <c r="C214" i="72"/>
  <c r="L214" i="72" s="1"/>
  <c r="E212" i="72"/>
  <c r="N212" i="72" s="1"/>
  <c r="A231" i="72"/>
  <c r="D228" i="72"/>
  <c r="M228" i="72" s="1"/>
  <c r="C227" i="72"/>
  <c r="L227" i="72" s="1"/>
  <c r="E225" i="72"/>
  <c r="N225" i="72" s="1"/>
  <c r="D224" i="72"/>
  <c r="M224" i="72" s="1"/>
  <c r="C223" i="72"/>
  <c r="L223" i="72" s="1"/>
  <c r="E221" i="72"/>
  <c r="N221" i="72" s="1"/>
  <c r="D220" i="72"/>
  <c r="M220" i="72" s="1"/>
  <c r="C219" i="72"/>
  <c r="L219" i="72" s="1"/>
  <c r="E217" i="72"/>
  <c r="N217" i="72" s="1"/>
  <c r="D216" i="72"/>
  <c r="M216" i="72" s="1"/>
  <c r="C215" i="72"/>
  <c r="E213" i="72"/>
  <c r="N213" i="72" s="1"/>
  <c r="D212" i="72"/>
  <c r="M212" i="72" s="1"/>
  <c r="C211" i="72"/>
  <c r="L211" i="72" s="1"/>
  <c r="E209" i="72"/>
  <c r="N209" i="72" s="1"/>
  <c r="N208" i="72"/>
  <c r="C228" i="72"/>
  <c r="L228" i="72" s="1"/>
  <c r="E226" i="72"/>
  <c r="N226" i="72" s="1"/>
  <c r="D225" i="72"/>
  <c r="M225" i="72" s="1"/>
  <c r="C224" i="72"/>
  <c r="L224" i="72" s="1"/>
  <c r="E222" i="72"/>
  <c r="N222" i="72" s="1"/>
  <c r="D221" i="72"/>
  <c r="M221" i="72" s="1"/>
  <c r="C220" i="72"/>
  <c r="L220" i="72" s="1"/>
  <c r="E218" i="72"/>
  <c r="N218" i="72" s="1"/>
  <c r="D217" i="72"/>
  <c r="M217" i="72" s="1"/>
  <c r="C216" i="72"/>
  <c r="L216" i="72" s="1"/>
  <c r="L215" i="72"/>
  <c r="E214" i="72"/>
  <c r="N214" i="72" s="1"/>
  <c r="D213" i="72"/>
  <c r="M213" i="72" s="1"/>
  <c r="C212" i="72"/>
  <c r="L212" i="72" s="1"/>
  <c r="E210" i="72"/>
  <c r="N210" i="72" s="1"/>
  <c r="D209" i="72"/>
  <c r="M209" i="72" s="1"/>
  <c r="M208" i="72"/>
  <c r="E223" i="72"/>
  <c r="N223" i="72" s="1"/>
  <c r="D218" i="72"/>
  <c r="M218" i="72" s="1"/>
  <c r="C213" i="72"/>
  <c r="L213" i="72" s="1"/>
  <c r="D210" i="72"/>
  <c r="M210" i="72" s="1"/>
  <c r="C225" i="72"/>
  <c r="L225" i="72" s="1"/>
  <c r="D214" i="72"/>
  <c r="M214" i="72" s="1"/>
  <c r="L208" i="72"/>
  <c r="E227" i="72"/>
  <c r="N227" i="72" s="1"/>
  <c r="D222" i="72"/>
  <c r="M222" i="72" s="1"/>
  <c r="C217" i="72"/>
  <c r="L217" i="72" s="1"/>
  <c r="E211" i="72"/>
  <c r="N211" i="72" s="1"/>
  <c r="D226" i="72"/>
  <c r="M226" i="72" s="1"/>
  <c r="C221" i="72"/>
  <c r="L221" i="72" s="1"/>
  <c r="E215" i="72"/>
  <c r="N215" i="72" s="1"/>
  <c r="E219" i="72"/>
  <c r="N219" i="72" s="1"/>
  <c r="C209" i="72"/>
  <c r="L209" i="72" s="1"/>
  <c r="AU21" i="72"/>
  <c r="L184" i="72"/>
  <c r="L204" i="72" s="1"/>
  <c r="L205" i="72" s="1"/>
  <c r="AM20" i="72"/>
  <c r="L179" i="72"/>
  <c r="L180" i="72" s="1"/>
  <c r="AE20" i="72"/>
  <c r="D179" i="72"/>
  <c r="AX6" i="72"/>
  <c r="M204" i="72" l="1"/>
  <c r="M205" i="72" s="1"/>
  <c r="E205" i="72" s="1"/>
  <c r="E180" i="72"/>
  <c r="AH6" i="72"/>
  <c r="T195" i="72" s="1"/>
  <c r="D204" i="72"/>
  <c r="X219" i="72"/>
  <c r="M229" i="72"/>
  <c r="M230" i="72" s="1"/>
  <c r="D229" i="72"/>
  <c r="N229" i="72"/>
  <c r="N230" i="72" s="1"/>
  <c r="AU22" i="72"/>
  <c r="Y218" i="72"/>
  <c r="AE21" i="72"/>
  <c r="AM21" i="72"/>
  <c r="E229" i="72"/>
  <c r="E253" i="72"/>
  <c r="N253" i="72" s="1"/>
  <c r="X253" i="72" s="1"/>
  <c r="D252" i="72"/>
  <c r="M252" i="72" s="1"/>
  <c r="C251" i="72"/>
  <c r="L251" i="72" s="1"/>
  <c r="E249" i="72"/>
  <c r="N249" i="72" s="1"/>
  <c r="D248" i="72"/>
  <c r="M248" i="72" s="1"/>
  <c r="C247" i="72"/>
  <c r="L247" i="72" s="1"/>
  <c r="E245" i="72"/>
  <c r="N245" i="72" s="1"/>
  <c r="D244" i="72"/>
  <c r="M244" i="72" s="1"/>
  <c r="C243" i="72"/>
  <c r="L243" i="72" s="1"/>
  <c r="E241" i="72"/>
  <c r="N241" i="72" s="1"/>
  <c r="D240" i="72"/>
  <c r="M240" i="72" s="1"/>
  <c r="C239" i="72"/>
  <c r="L239" i="72" s="1"/>
  <c r="E237" i="72"/>
  <c r="N237" i="72" s="1"/>
  <c r="D236" i="72"/>
  <c r="M236" i="72" s="1"/>
  <c r="C235" i="72"/>
  <c r="L235" i="72" s="1"/>
  <c r="A256" i="72"/>
  <c r="D253" i="72"/>
  <c r="M253" i="72" s="1"/>
  <c r="C252" i="72"/>
  <c r="L252" i="72" s="1"/>
  <c r="E250" i="72"/>
  <c r="N250" i="72" s="1"/>
  <c r="X250" i="72" s="1"/>
  <c r="D249" i="72"/>
  <c r="M249" i="72" s="1"/>
  <c r="C248" i="72"/>
  <c r="L248" i="72" s="1"/>
  <c r="E246" i="72"/>
  <c r="N246" i="72" s="1"/>
  <c r="D245" i="72"/>
  <c r="M245" i="72" s="1"/>
  <c r="C244" i="72"/>
  <c r="L244" i="72" s="1"/>
  <c r="E242" i="72"/>
  <c r="N242" i="72" s="1"/>
  <c r="D241" i="72"/>
  <c r="M241" i="72" s="1"/>
  <c r="C240" i="72"/>
  <c r="L240" i="72" s="1"/>
  <c r="E238" i="72"/>
  <c r="N238" i="72" s="1"/>
  <c r="D237" i="72"/>
  <c r="M237" i="72" s="1"/>
  <c r="E234" i="72"/>
  <c r="N234" i="72" s="1"/>
  <c r="N233" i="72"/>
  <c r="C253" i="72"/>
  <c r="L253" i="72" s="1"/>
  <c r="E251" i="72"/>
  <c r="N251" i="72" s="1"/>
  <c r="X251" i="72" s="1"/>
  <c r="D250" i="72"/>
  <c r="M250" i="72" s="1"/>
  <c r="C249" i="72"/>
  <c r="L249" i="72" s="1"/>
  <c r="E247" i="72"/>
  <c r="N247" i="72" s="1"/>
  <c r="D246" i="72"/>
  <c r="M246" i="72" s="1"/>
  <c r="C245" i="72"/>
  <c r="L245" i="72" s="1"/>
  <c r="E243" i="72"/>
  <c r="N243" i="72" s="1"/>
  <c r="D242" i="72"/>
  <c r="M242" i="72" s="1"/>
  <c r="C241" i="72"/>
  <c r="L241" i="72" s="1"/>
  <c r="E239" i="72"/>
  <c r="N239" i="72" s="1"/>
  <c r="D238" i="72"/>
  <c r="M238" i="72" s="1"/>
  <c r="C237" i="72"/>
  <c r="L237" i="72" s="1"/>
  <c r="E235" i="72"/>
  <c r="N235" i="72" s="1"/>
  <c r="D234" i="72"/>
  <c r="M233" i="72"/>
  <c r="E248" i="72"/>
  <c r="N248" i="72" s="1"/>
  <c r="D243" i="72"/>
  <c r="M243" i="72" s="1"/>
  <c r="C238" i="72"/>
  <c r="L238" i="72" s="1"/>
  <c r="D251" i="72"/>
  <c r="M251" i="72" s="1"/>
  <c r="C246" i="72"/>
  <c r="L246" i="72" s="1"/>
  <c r="E240" i="72"/>
  <c r="N240" i="72" s="1"/>
  <c r="C250" i="72"/>
  <c r="L250" i="72" s="1"/>
  <c r="E244" i="72"/>
  <c r="N244" i="72" s="1"/>
  <c r="C234" i="72"/>
  <c r="L233" i="72"/>
  <c r="E252" i="72"/>
  <c r="N252" i="72" s="1"/>
  <c r="D247" i="72"/>
  <c r="M247" i="72" s="1"/>
  <c r="C242" i="72"/>
  <c r="L242" i="72" s="1"/>
  <c r="E236" i="72"/>
  <c r="N236" i="72" s="1"/>
  <c r="D235" i="72"/>
  <c r="M235" i="72" s="1"/>
  <c r="D239" i="72"/>
  <c r="M239" i="72" s="1"/>
  <c r="C210" i="72"/>
  <c r="L210" i="72" s="1"/>
  <c r="L229" i="72" s="1"/>
  <c r="L230" i="72" s="1"/>
  <c r="T211" i="72" l="1"/>
  <c r="U161" i="72"/>
  <c r="T93" i="72"/>
  <c r="U135" i="72"/>
  <c r="AF14" i="72"/>
  <c r="AG14" i="72" s="1"/>
  <c r="T171" i="72"/>
  <c r="T127" i="72"/>
  <c r="T39" i="72"/>
  <c r="U65" i="72"/>
  <c r="U88" i="72"/>
  <c r="T43" i="72"/>
  <c r="T250" i="72"/>
  <c r="U42" i="72"/>
  <c r="U188" i="72"/>
  <c r="T176" i="72"/>
  <c r="T114" i="72"/>
  <c r="T88" i="72"/>
  <c r="T75" i="72"/>
  <c r="T14" i="72"/>
  <c r="U67" i="72"/>
  <c r="T167" i="72"/>
  <c r="U63" i="72"/>
  <c r="T103" i="72"/>
  <c r="T73" i="72"/>
  <c r="T20" i="72"/>
  <c r="AF20" i="72"/>
  <c r="AG20" i="72" s="1"/>
  <c r="T173" i="72"/>
  <c r="T138" i="72"/>
  <c r="U139" i="72"/>
  <c r="T121" i="72"/>
  <c r="AI15" i="72"/>
  <c r="Q12" i="72" s="1"/>
  <c r="Q37" i="72" s="1"/>
  <c r="U85" i="72"/>
  <c r="T71" i="72"/>
  <c r="T18" i="72"/>
  <c r="T9" i="72"/>
  <c r="AI12" i="72"/>
  <c r="Q9" i="72" s="1"/>
  <c r="Q34" i="72" s="1"/>
  <c r="T213" i="72"/>
  <c r="AI19" i="72"/>
  <c r="Q16" i="72" s="1"/>
  <c r="Q41" i="72" s="1"/>
  <c r="T170" i="72"/>
  <c r="T150" i="72"/>
  <c r="T135" i="72"/>
  <c r="T120" i="72"/>
  <c r="T85" i="72"/>
  <c r="T92" i="72"/>
  <c r="T77" i="72"/>
  <c r="T12" i="72"/>
  <c r="T34" i="72"/>
  <c r="T8" i="72"/>
  <c r="T212" i="72"/>
  <c r="T225" i="72"/>
  <c r="U216" i="72"/>
  <c r="T159" i="72"/>
  <c r="U40" i="72"/>
  <c r="U165" i="72"/>
  <c r="U15" i="72"/>
  <c r="T153" i="72"/>
  <c r="U39" i="72"/>
  <c r="T147" i="72"/>
  <c r="T139" i="72"/>
  <c r="T117" i="72"/>
  <c r="T112" i="72"/>
  <c r="T111" i="72"/>
  <c r="T91" i="72"/>
  <c r="U86" i="72"/>
  <c r="U37" i="72"/>
  <c r="U61" i="72"/>
  <c r="T78" i="72"/>
  <c r="T66" i="72"/>
  <c r="T51" i="72"/>
  <c r="T33" i="72"/>
  <c r="T53" i="72"/>
  <c r="T16" i="72"/>
  <c r="T196" i="72"/>
  <c r="T202" i="72"/>
  <c r="T245" i="72"/>
  <c r="T252" i="72"/>
  <c r="T247" i="72"/>
  <c r="U142" i="72"/>
  <c r="U192" i="72"/>
  <c r="U211" i="72"/>
  <c r="AI18" i="72"/>
  <c r="Q15" i="72" s="1"/>
  <c r="Q40" i="72" s="1"/>
  <c r="U140" i="72"/>
  <c r="AF18" i="72"/>
  <c r="AG18" i="72" s="1"/>
  <c r="T143" i="72"/>
  <c r="AF17" i="72"/>
  <c r="AG17" i="72" s="1"/>
  <c r="U136" i="72"/>
  <c r="T142" i="72"/>
  <c r="T122" i="72"/>
  <c r="U109" i="72"/>
  <c r="T123" i="72"/>
  <c r="T94" i="72"/>
  <c r="T90" i="72"/>
  <c r="U83" i="72"/>
  <c r="U104" i="72" s="1"/>
  <c r="T76" i="72"/>
  <c r="AI14" i="72"/>
  <c r="Q11" i="72" s="1"/>
  <c r="Q36" i="72" s="1"/>
  <c r="T35" i="72"/>
  <c r="T48" i="72"/>
  <c r="AI13" i="72"/>
  <c r="Q10" i="72" s="1"/>
  <c r="Q35" i="72" s="1"/>
  <c r="T42" i="72"/>
  <c r="AI11" i="72"/>
  <c r="Q8" i="72" s="1"/>
  <c r="Q33" i="72" s="1"/>
  <c r="T194" i="72"/>
  <c r="T203" i="72"/>
  <c r="T188" i="72"/>
  <c r="T185" i="72"/>
  <c r="T199" i="72"/>
  <c r="U208" i="72"/>
  <c r="U229" i="72" s="1"/>
  <c r="T215" i="72"/>
  <c r="U159" i="72"/>
  <c r="T198" i="72"/>
  <c r="T23" i="72"/>
  <c r="AF11" i="72"/>
  <c r="AG11" i="72" s="1"/>
  <c r="T28" i="72"/>
  <c r="U8" i="72"/>
  <c r="U29" i="72" s="1"/>
  <c r="AF12" i="72"/>
  <c r="AG12" i="72" s="1"/>
  <c r="T38" i="72"/>
  <c r="T41" i="72"/>
  <c r="T45" i="72"/>
  <c r="U34" i="72"/>
  <c r="T52" i="72"/>
  <c r="T49" i="72"/>
  <c r="T37" i="72"/>
  <c r="U33" i="72"/>
  <c r="U54" i="72" s="1"/>
  <c r="T70" i="72"/>
  <c r="U11" i="72"/>
  <c r="T64" i="72"/>
  <c r="T58" i="72"/>
  <c r="T68" i="72"/>
  <c r="T67" i="72"/>
  <c r="U59" i="72"/>
  <c r="U36" i="72"/>
  <c r="T101" i="72"/>
  <c r="U110" i="72"/>
  <c r="T83" i="72"/>
  <c r="T84" i="72"/>
  <c r="T89" i="72"/>
  <c r="T61" i="72"/>
  <c r="T100" i="72"/>
  <c r="AF15" i="72"/>
  <c r="AG15" i="72" s="1"/>
  <c r="T116" i="72"/>
  <c r="AI16" i="72"/>
  <c r="Q13" i="72" s="1"/>
  <c r="Q38" i="72" s="1"/>
  <c r="T124" i="72"/>
  <c r="U111" i="72"/>
  <c r="U134" i="72"/>
  <c r="T110" i="72"/>
  <c r="T118" i="72"/>
  <c r="U137" i="72"/>
  <c r="T141" i="72"/>
  <c r="T134" i="72"/>
  <c r="U114" i="72"/>
  <c r="U14" i="72"/>
  <c r="T151" i="72"/>
  <c r="U64" i="72"/>
  <c r="T145" i="72"/>
  <c r="T148" i="72"/>
  <c r="U133" i="72"/>
  <c r="U154" i="72" s="1"/>
  <c r="T165" i="72"/>
  <c r="T168" i="72"/>
  <c r="U115" i="72"/>
  <c r="T177" i="72"/>
  <c r="T164" i="72"/>
  <c r="U183" i="72"/>
  <c r="U204" i="72" s="1"/>
  <c r="T166" i="72"/>
  <c r="U164" i="72"/>
  <c r="T172" i="72"/>
  <c r="U141" i="72"/>
  <c r="T189" i="72"/>
  <c r="T186" i="72"/>
  <c r="U214" i="72"/>
  <c r="U213" i="72"/>
  <c r="T208" i="72"/>
  <c r="U209" i="72"/>
  <c r="U92" i="72"/>
  <c r="AI20" i="72"/>
  <c r="Q17" i="72" s="1"/>
  <c r="Q42" i="72" s="1"/>
  <c r="U167" i="72"/>
  <c r="U215" i="72"/>
  <c r="T224" i="72"/>
  <c r="T197" i="72"/>
  <c r="T192" i="72"/>
  <c r="T221" i="72"/>
  <c r="T220" i="72"/>
  <c r="U189" i="72"/>
  <c r="T191" i="72"/>
  <c r="T27" i="72"/>
  <c r="T22" i="72"/>
  <c r="T633" i="72"/>
  <c r="T246" i="72"/>
  <c r="T237" i="72"/>
  <c r="T253" i="72"/>
  <c r="T244" i="72"/>
  <c r="U17" i="72"/>
  <c r="U184" i="72"/>
  <c r="T216" i="72"/>
  <c r="T187" i="72"/>
  <c r="U16" i="72"/>
  <c r="U163" i="72"/>
  <c r="U90" i="72"/>
  <c r="U160" i="72"/>
  <c r="T174" i="72"/>
  <c r="T160" i="72"/>
  <c r="T175" i="72"/>
  <c r="T133" i="72"/>
  <c r="T149" i="72"/>
  <c r="U138" i="72"/>
  <c r="T136" i="72"/>
  <c r="T137" i="72"/>
  <c r="T144" i="72"/>
  <c r="U38" i="72"/>
  <c r="AF16" i="72"/>
  <c r="AG16" i="72" s="1"/>
  <c r="T113" i="72"/>
  <c r="U13" i="72"/>
  <c r="T115" i="72"/>
  <c r="U108" i="72"/>
  <c r="U129" i="72" s="1"/>
  <c r="T119" i="72"/>
  <c r="U84" i="72"/>
  <c r="T95" i="72"/>
  <c r="T96" i="72"/>
  <c r="T87" i="72"/>
  <c r="T98" i="72"/>
  <c r="T86" i="72"/>
  <c r="T74" i="72"/>
  <c r="T72" i="72"/>
  <c r="U58" i="72"/>
  <c r="U79" i="72" s="1"/>
  <c r="U35" i="72"/>
  <c r="U60" i="72"/>
  <c r="T69" i="72"/>
  <c r="T44" i="72"/>
  <c r="T46" i="72"/>
  <c r="U9" i="72"/>
  <c r="T50" i="72"/>
  <c r="T10" i="72"/>
  <c r="T13" i="72"/>
  <c r="T19" i="72"/>
  <c r="T24" i="72"/>
  <c r="T21" i="72"/>
  <c r="T183" i="72"/>
  <c r="U41" i="72"/>
  <c r="U187" i="72"/>
  <c r="T249" i="72"/>
  <c r="T240" i="72"/>
  <c r="T251" i="72"/>
  <c r="U212" i="72"/>
  <c r="U217" i="72"/>
  <c r="U117" i="72"/>
  <c r="T184" i="72"/>
  <c r="T214" i="72"/>
  <c r="T201" i="72"/>
  <c r="U166" i="72"/>
  <c r="U162" i="72"/>
  <c r="T161" i="72"/>
  <c r="T178" i="72"/>
  <c r="T163" i="72"/>
  <c r="T158" i="72"/>
  <c r="T162" i="72"/>
  <c r="T169" i="72"/>
  <c r="U158" i="72"/>
  <c r="U179" i="72" s="1"/>
  <c r="T152" i="72"/>
  <c r="U89" i="72"/>
  <c r="T146" i="72"/>
  <c r="AI17" i="72"/>
  <c r="Q14" i="72" s="1"/>
  <c r="Q39" i="72" s="1"/>
  <c r="T140" i="72"/>
  <c r="T126" i="72"/>
  <c r="U112" i="72"/>
  <c r="T109" i="72"/>
  <c r="U113" i="72"/>
  <c r="T125" i="72"/>
  <c r="T108" i="72"/>
  <c r="T128" i="72"/>
  <c r="T102" i="72"/>
  <c r="U12" i="72"/>
  <c r="U62" i="72"/>
  <c r="T97" i="72"/>
  <c r="U87" i="72"/>
  <c r="T99" i="72"/>
  <c r="T60" i="72"/>
  <c r="T65" i="72"/>
  <c r="T62" i="72"/>
  <c r="T63" i="72"/>
  <c r="T59" i="72"/>
  <c r="T15" i="72"/>
  <c r="T47" i="72"/>
  <c r="T36" i="72"/>
  <c r="AF13" i="72"/>
  <c r="AG13" i="72" s="1"/>
  <c r="U10" i="72"/>
  <c r="T40" i="72"/>
  <c r="T11" i="72"/>
  <c r="T26" i="72"/>
  <c r="T25" i="72"/>
  <c r="T17" i="72"/>
  <c r="T218" i="72"/>
  <c r="T190" i="72"/>
  <c r="T219" i="72"/>
  <c r="T248" i="72"/>
  <c r="T243" i="72"/>
  <c r="T217" i="72"/>
  <c r="T222" i="72"/>
  <c r="T209" i="72"/>
  <c r="T228" i="72"/>
  <c r="U190" i="72"/>
  <c r="AF19" i="72"/>
  <c r="AG19" i="72" s="1"/>
  <c r="U66" i="72"/>
  <c r="T193" i="72"/>
  <c r="T226" i="72"/>
  <c r="U91" i="72"/>
  <c r="T200" i="72"/>
  <c r="U191" i="72"/>
  <c r="T227" i="72"/>
  <c r="U116" i="72"/>
  <c r="AP6" i="72"/>
  <c r="V249" i="72" s="1"/>
  <c r="U185" i="72"/>
  <c r="U186" i="72"/>
  <c r="T223" i="72"/>
  <c r="U233" i="72"/>
  <c r="U254" i="72" s="1"/>
  <c r="X237" i="72"/>
  <c r="Y9" i="72"/>
  <c r="AV13" i="72"/>
  <c r="AW13" i="72" s="1"/>
  <c r="X26" i="72"/>
  <c r="AY11" i="72"/>
  <c r="S8" i="72" s="1"/>
  <c r="S33" i="72" s="1"/>
  <c r="S58" i="72" s="1"/>
  <c r="S83" i="72" s="1"/>
  <c r="S108" i="72" s="1"/>
  <c r="S133" i="72" s="1"/>
  <c r="S158" i="72" s="1"/>
  <c r="S183" i="72" s="1"/>
  <c r="S208" i="72" s="1"/>
  <c r="S233" i="72" s="1"/>
  <c r="X14" i="72"/>
  <c r="X20" i="72"/>
  <c r="X18" i="72"/>
  <c r="X13" i="72"/>
  <c r="X10" i="72"/>
  <c r="X27" i="72"/>
  <c r="Y8" i="72"/>
  <c r="Y29" i="72" s="1"/>
  <c r="X28" i="72"/>
  <c r="X11" i="72"/>
  <c r="X25" i="72"/>
  <c r="X12" i="72"/>
  <c r="X22" i="72"/>
  <c r="X19" i="72"/>
  <c r="X16" i="72"/>
  <c r="AV12" i="72"/>
  <c r="AW12" i="72" s="1"/>
  <c r="Y10" i="72"/>
  <c r="X17" i="72"/>
  <c r="X8" i="72"/>
  <c r="AV11" i="72"/>
  <c r="AW11" i="72" s="1"/>
  <c r="X15" i="72"/>
  <c r="X21" i="72"/>
  <c r="X24" i="72"/>
  <c r="AY12" i="72"/>
  <c r="S9" i="72" s="1"/>
  <c r="S34" i="72" s="1"/>
  <c r="S59" i="72" s="1"/>
  <c r="S84" i="72" s="1"/>
  <c r="S109" i="72" s="1"/>
  <c r="S134" i="72" s="1"/>
  <c r="S159" i="72" s="1"/>
  <c r="S184" i="72" s="1"/>
  <c r="S209" i="72" s="1"/>
  <c r="S234" i="72" s="1"/>
  <c r="X23" i="72"/>
  <c r="X633" i="72"/>
  <c r="X9" i="72"/>
  <c r="AY13" i="72"/>
  <c r="S10" i="72" s="1"/>
  <c r="S35" i="72" s="1"/>
  <c r="S60" i="72" s="1"/>
  <c r="S85" i="72" s="1"/>
  <c r="S110" i="72" s="1"/>
  <c r="S135" i="72" s="1"/>
  <c r="S160" i="72" s="1"/>
  <c r="S185" i="72" s="1"/>
  <c r="S210" i="72" s="1"/>
  <c r="S235" i="72" s="1"/>
  <c r="X48" i="72"/>
  <c r="X51" i="72"/>
  <c r="X46" i="72"/>
  <c r="X44" i="72"/>
  <c r="X52" i="72"/>
  <c r="X53" i="72"/>
  <c r="AV14" i="72"/>
  <c r="AW14" i="72" s="1"/>
  <c r="X49" i="72"/>
  <c r="X42" i="72"/>
  <c r="X45" i="72"/>
  <c r="X40" i="72"/>
  <c r="X43" i="72"/>
  <c r="X36" i="72"/>
  <c r="Y36" i="72"/>
  <c r="X33" i="72"/>
  <c r="X35" i="72"/>
  <c r="X38" i="72"/>
  <c r="X41" i="72"/>
  <c r="X50" i="72"/>
  <c r="X47" i="72"/>
  <c r="Y33" i="72"/>
  <c r="Y54" i="72" s="1"/>
  <c r="X37" i="72"/>
  <c r="X39" i="72"/>
  <c r="Y35" i="72"/>
  <c r="AY14" i="72"/>
  <c r="S11" i="72" s="1"/>
  <c r="S36" i="72" s="1"/>
  <c r="S61" i="72" s="1"/>
  <c r="S86" i="72" s="1"/>
  <c r="S111" i="72" s="1"/>
  <c r="S136" i="72" s="1"/>
  <c r="S161" i="72" s="1"/>
  <c r="S186" i="72" s="1"/>
  <c r="S211" i="72" s="1"/>
  <c r="S236" i="72" s="1"/>
  <c r="Y11" i="72"/>
  <c r="X68" i="72"/>
  <c r="X72" i="72"/>
  <c r="X71" i="72"/>
  <c r="X73" i="72"/>
  <c r="X59" i="72"/>
  <c r="Y61" i="72"/>
  <c r="Y62" i="72"/>
  <c r="Y37" i="72"/>
  <c r="X62" i="72"/>
  <c r="X67" i="72"/>
  <c r="X65" i="72"/>
  <c r="Y58" i="72"/>
  <c r="Y79" i="72" s="1"/>
  <c r="X78" i="72"/>
  <c r="X69" i="72"/>
  <c r="X34" i="72"/>
  <c r="X58" i="72"/>
  <c r="Y59" i="72"/>
  <c r="Y12" i="72"/>
  <c r="X63" i="72"/>
  <c r="X74" i="72"/>
  <c r="X75" i="72"/>
  <c r="AY15" i="72"/>
  <c r="S12" i="72" s="1"/>
  <c r="S37" i="72" s="1"/>
  <c r="S62" i="72" s="1"/>
  <c r="S87" i="72" s="1"/>
  <c r="S112" i="72" s="1"/>
  <c r="S137" i="72" s="1"/>
  <c r="S162" i="72" s="1"/>
  <c r="S187" i="72" s="1"/>
  <c r="S212" i="72" s="1"/>
  <c r="S237" i="72" s="1"/>
  <c r="X64" i="72"/>
  <c r="X77" i="72"/>
  <c r="X70" i="72"/>
  <c r="Y34" i="72"/>
  <c r="X66" i="72"/>
  <c r="X76" i="72"/>
  <c r="X61" i="72"/>
  <c r="AV15" i="72"/>
  <c r="AW15" i="72" s="1"/>
  <c r="X91" i="72"/>
  <c r="X102" i="72"/>
  <c r="X92" i="72"/>
  <c r="X98" i="72"/>
  <c r="X97" i="72"/>
  <c r="X83" i="72"/>
  <c r="AV16" i="72"/>
  <c r="AW16" i="72" s="1"/>
  <c r="Y38" i="72"/>
  <c r="X103" i="72"/>
  <c r="Y87" i="72"/>
  <c r="X88" i="72"/>
  <c r="X93" i="72"/>
  <c r="X96" i="72"/>
  <c r="X90" i="72"/>
  <c r="X99" i="72"/>
  <c r="Y83" i="72"/>
  <c r="Y104" i="72" s="1"/>
  <c r="X95" i="72"/>
  <c r="X84" i="72"/>
  <c r="Y85" i="72"/>
  <c r="Y13" i="72"/>
  <c r="X60" i="72"/>
  <c r="Y108" i="72"/>
  <c r="Y129" i="72" s="1"/>
  <c r="X94" i="72"/>
  <c r="Y63" i="72"/>
  <c r="X85" i="72"/>
  <c r="X101" i="72"/>
  <c r="X100" i="72"/>
  <c r="X87" i="72"/>
  <c r="Y84" i="72"/>
  <c r="Y88" i="72"/>
  <c r="AY16" i="72"/>
  <c r="S13" i="72" s="1"/>
  <c r="S38" i="72" s="1"/>
  <c r="S63" i="72" s="1"/>
  <c r="S88" i="72" s="1"/>
  <c r="S113" i="72" s="1"/>
  <c r="S138" i="72" s="1"/>
  <c r="S163" i="72" s="1"/>
  <c r="S188" i="72" s="1"/>
  <c r="S213" i="72" s="1"/>
  <c r="S238" i="72" s="1"/>
  <c r="Y60" i="72"/>
  <c r="X89" i="72"/>
  <c r="X121" i="72"/>
  <c r="X115" i="72"/>
  <c r="Y111" i="72"/>
  <c r="AY17" i="72"/>
  <c r="S14" i="72" s="1"/>
  <c r="S39" i="72" s="1"/>
  <c r="S64" i="72" s="1"/>
  <c r="S89" i="72" s="1"/>
  <c r="S114" i="72" s="1"/>
  <c r="S139" i="72" s="1"/>
  <c r="S164" i="72" s="1"/>
  <c r="S189" i="72" s="1"/>
  <c r="S214" i="72" s="1"/>
  <c r="S239" i="72" s="1"/>
  <c r="Y114" i="72"/>
  <c r="X108" i="72"/>
  <c r="Y86" i="72"/>
  <c r="X125" i="72"/>
  <c r="X124" i="72"/>
  <c r="X116" i="72"/>
  <c r="X118" i="72"/>
  <c r="Y113" i="72"/>
  <c r="Y89" i="72"/>
  <c r="X123" i="72"/>
  <c r="AV17" i="72"/>
  <c r="AW17" i="72" s="1"/>
  <c r="X114" i="72"/>
  <c r="X120" i="72"/>
  <c r="X119" i="72"/>
  <c r="X122" i="72"/>
  <c r="X110" i="72"/>
  <c r="Y110" i="72"/>
  <c r="X86" i="72"/>
  <c r="Y14" i="72"/>
  <c r="Y39" i="72"/>
  <c r="X126" i="72"/>
  <c r="X117" i="72"/>
  <c r="X113" i="72"/>
  <c r="X128" i="72"/>
  <c r="X127" i="72"/>
  <c r="X111" i="72"/>
  <c r="Y64" i="72"/>
  <c r="X150" i="72"/>
  <c r="X148" i="72"/>
  <c r="X147" i="72"/>
  <c r="X152" i="72"/>
  <c r="X145" i="72"/>
  <c r="X135" i="72"/>
  <c r="Y139" i="72"/>
  <c r="X136" i="72"/>
  <c r="Y15" i="72"/>
  <c r="Y140" i="72"/>
  <c r="X109" i="72"/>
  <c r="Y40" i="72"/>
  <c r="X153" i="72"/>
  <c r="Y163" i="72"/>
  <c r="Y133" i="72"/>
  <c r="Y154" i="72" s="1"/>
  <c r="X140" i="72"/>
  <c r="X151" i="72"/>
  <c r="Y135" i="72"/>
  <c r="Y136" i="72"/>
  <c r="AY18" i="72"/>
  <c r="S15" i="72" s="1"/>
  <c r="S40" i="72" s="1"/>
  <c r="S65" i="72" s="1"/>
  <c r="S90" i="72" s="1"/>
  <c r="S115" i="72" s="1"/>
  <c r="S140" i="72" s="1"/>
  <c r="S165" i="72" s="1"/>
  <c r="S190" i="72" s="1"/>
  <c r="S215" i="72" s="1"/>
  <c r="S240" i="72" s="1"/>
  <c r="Y90" i="72"/>
  <c r="X133" i="72"/>
  <c r="X112" i="72"/>
  <c r="Y137" i="72"/>
  <c r="Y112" i="72"/>
  <c r="X139" i="72"/>
  <c r="Y160" i="72"/>
  <c r="Y109" i="72"/>
  <c r="AV18" i="72"/>
  <c r="AW18" i="72" s="1"/>
  <c r="X149" i="72"/>
  <c r="X137" i="72"/>
  <c r="X146" i="72"/>
  <c r="X141" i="72"/>
  <c r="X144" i="72"/>
  <c r="X143" i="72"/>
  <c r="X134" i="72"/>
  <c r="Y115" i="72"/>
  <c r="X142" i="72"/>
  <c r="Y134" i="72"/>
  <c r="Y65" i="72"/>
  <c r="X168" i="72"/>
  <c r="X171" i="72"/>
  <c r="X162" i="72"/>
  <c r="Y91" i="72"/>
  <c r="Y116" i="72"/>
  <c r="Y166" i="72"/>
  <c r="Y159" i="72"/>
  <c r="Y164" i="72"/>
  <c r="Y138" i="72"/>
  <c r="X172" i="72"/>
  <c r="X178" i="72"/>
  <c r="X167" i="72"/>
  <c r="X161" i="72"/>
  <c r="X165" i="72"/>
  <c r="X158" i="72"/>
  <c r="AY19" i="72"/>
  <c r="S16" i="72" s="1"/>
  <c r="S41" i="72" s="1"/>
  <c r="S66" i="72" s="1"/>
  <c r="S91" i="72" s="1"/>
  <c r="S116" i="72" s="1"/>
  <c r="S141" i="72" s="1"/>
  <c r="S166" i="72" s="1"/>
  <c r="S191" i="72" s="1"/>
  <c r="S216" i="72" s="1"/>
  <c r="S241" i="72" s="1"/>
  <c r="Y66" i="72"/>
  <c r="Y141" i="72"/>
  <c r="Y162" i="72"/>
  <c r="X174" i="72"/>
  <c r="X163" i="72"/>
  <c r="X159" i="72"/>
  <c r="AV19" i="72"/>
  <c r="AW19" i="72" s="1"/>
  <c r="Y16" i="72"/>
  <c r="Y187" i="72"/>
  <c r="Y158" i="72"/>
  <c r="Y179" i="72" s="1"/>
  <c r="X138" i="72"/>
  <c r="X173" i="72"/>
  <c r="X175" i="72"/>
  <c r="X160" i="72"/>
  <c r="X176" i="72"/>
  <c r="X166" i="72"/>
  <c r="Y161" i="72"/>
  <c r="Y165" i="72"/>
  <c r="Y41" i="72"/>
  <c r="Y185" i="72"/>
  <c r="X169" i="72"/>
  <c r="X170" i="72"/>
  <c r="X177" i="72"/>
  <c r="X164" i="72"/>
  <c r="X197" i="72"/>
  <c r="X202" i="72"/>
  <c r="X199" i="72"/>
  <c r="X192" i="72"/>
  <c r="X185" i="72"/>
  <c r="X187" i="72"/>
  <c r="X186" i="72"/>
  <c r="X189" i="72"/>
  <c r="X190" i="72"/>
  <c r="X183" i="72"/>
  <c r="Y191" i="72"/>
  <c r="Y183" i="72"/>
  <c r="Y204" i="72" s="1"/>
  <c r="AV20" i="72"/>
  <c r="AW20" i="72" s="1"/>
  <c r="Y117" i="72"/>
  <c r="AY20" i="72"/>
  <c r="S17" i="72" s="1"/>
  <c r="S42" i="72" s="1"/>
  <c r="S67" i="72" s="1"/>
  <c r="S92" i="72" s="1"/>
  <c r="S117" i="72" s="1"/>
  <c r="S142" i="72" s="1"/>
  <c r="S167" i="72" s="1"/>
  <c r="S192" i="72" s="1"/>
  <c r="S217" i="72" s="1"/>
  <c r="S242" i="72" s="1"/>
  <c r="Y186" i="72"/>
  <c r="Y167" i="72"/>
  <c r="X188" i="72"/>
  <c r="X193" i="72"/>
  <c r="X196" i="72"/>
  <c r="X198" i="72"/>
  <c r="X191" i="72"/>
  <c r="Y189" i="72"/>
  <c r="Y190" i="72"/>
  <c r="Y192" i="72"/>
  <c r="Y92" i="72"/>
  <c r="Y142" i="72"/>
  <c r="X194" i="72"/>
  <c r="X195" i="72"/>
  <c r="Y184" i="72"/>
  <c r="Y42" i="72"/>
  <c r="X201" i="72"/>
  <c r="X184" i="72"/>
  <c r="Y188" i="72"/>
  <c r="Y212" i="72"/>
  <c r="Y17" i="72"/>
  <c r="Y67" i="72"/>
  <c r="X200" i="72"/>
  <c r="X203" i="72"/>
  <c r="X214" i="72"/>
  <c r="X222" i="72"/>
  <c r="X225" i="72"/>
  <c r="X209" i="72"/>
  <c r="X226" i="72"/>
  <c r="X224" i="72"/>
  <c r="Y217" i="72"/>
  <c r="X210" i="72"/>
  <c r="X215" i="72"/>
  <c r="AV21" i="72"/>
  <c r="AW21" i="72" s="1"/>
  <c r="Y143" i="72"/>
  <c r="Y43" i="72"/>
  <c r="X223" i="72"/>
  <c r="X216" i="72"/>
  <c r="X220" i="72"/>
  <c r="X227" i="72"/>
  <c r="X212" i="72"/>
  <c r="X213" i="72"/>
  <c r="Y214" i="72"/>
  <c r="Y216" i="72"/>
  <c r="Y210" i="72"/>
  <c r="Y215" i="72"/>
  <c r="X208" i="72"/>
  <c r="Y168" i="72"/>
  <c r="AY21" i="72"/>
  <c r="S18" i="72" s="1"/>
  <c r="S43" i="72" s="1"/>
  <c r="S68" i="72" s="1"/>
  <c r="S93" i="72" s="1"/>
  <c r="S118" i="72" s="1"/>
  <c r="S143" i="72" s="1"/>
  <c r="S168" i="72" s="1"/>
  <c r="S193" i="72" s="1"/>
  <c r="S218" i="72" s="1"/>
  <c r="S243" i="72" s="1"/>
  <c r="S643" i="72" s="1"/>
  <c r="Y68" i="72"/>
  <c r="X218" i="72"/>
  <c r="X221" i="72"/>
  <c r="Y213" i="72"/>
  <c r="Y209" i="72"/>
  <c r="X211" i="72"/>
  <c r="Y18" i="72"/>
  <c r="Y93" i="72"/>
  <c r="Y118" i="72"/>
  <c r="Y208" i="72"/>
  <c r="Y229" i="72" s="1"/>
  <c r="Y237" i="72"/>
  <c r="X238" i="72"/>
  <c r="X247" i="72"/>
  <c r="X246" i="72"/>
  <c r="X249" i="72"/>
  <c r="X217" i="72"/>
  <c r="Y193" i="72"/>
  <c r="Y211" i="72"/>
  <c r="X228" i="72"/>
  <c r="X244" i="72"/>
  <c r="X245" i="72"/>
  <c r="X252" i="72"/>
  <c r="X248" i="72"/>
  <c r="X236" i="72"/>
  <c r="X241" i="72"/>
  <c r="X234" i="72"/>
  <c r="Y234" i="72"/>
  <c r="X235" i="72"/>
  <c r="Y235" i="72"/>
  <c r="C236" i="72"/>
  <c r="L236" i="72" s="1"/>
  <c r="T236" i="72" s="1"/>
  <c r="U237" i="72"/>
  <c r="C229" i="72"/>
  <c r="E230" i="72"/>
  <c r="X239" i="72"/>
  <c r="Y239" i="72"/>
  <c r="X240" i="72"/>
  <c r="Y240" i="72"/>
  <c r="X243" i="72"/>
  <c r="Y243" i="72"/>
  <c r="T235" i="72"/>
  <c r="U235" i="72"/>
  <c r="T239" i="72"/>
  <c r="U239" i="72"/>
  <c r="T242" i="72"/>
  <c r="U242" i="72"/>
  <c r="T238" i="72"/>
  <c r="U238" i="72"/>
  <c r="D254" i="72"/>
  <c r="N254" i="72"/>
  <c r="N255" i="72" s="1"/>
  <c r="X233" i="72"/>
  <c r="AM22" i="72"/>
  <c r="AV22" i="72"/>
  <c r="AW22" i="72" s="1"/>
  <c r="AU23" i="72"/>
  <c r="AY22" i="72"/>
  <c r="S19" i="72" s="1"/>
  <c r="S44" i="72" s="1"/>
  <c r="S69" i="72" s="1"/>
  <c r="S94" i="72" s="1"/>
  <c r="S119" i="72" s="1"/>
  <c r="S144" i="72" s="1"/>
  <c r="S169" i="72" s="1"/>
  <c r="S194" i="72" s="1"/>
  <c r="S219" i="72" s="1"/>
  <c r="S244" i="72" s="1"/>
  <c r="Y94" i="72"/>
  <c r="Y119" i="72"/>
  <c r="Y219" i="72"/>
  <c r="Y169" i="72"/>
  <c r="Y194" i="72"/>
  <c r="Y19" i="72"/>
  <c r="Y144" i="72"/>
  <c r="Y44" i="72"/>
  <c r="Y244" i="72"/>
  <c r="Y69" i="72"/>
  <c r="X242" i="72"/>
  <c r="Y242" i="72"/>
  <c r="E254" i="72"/>
  <c r="M234" i="72"/>
  <c r="M254" i="72" s="1"/>
  <c r="M255" i="72" s="1"/>
  <c r="Q66" i="72"/>
  <c r="AE22" i="72"/>
  <c r="AF21" i="72"/>
  <c r="AG21" i="72" s="1"/>
  <c r="U218" i="72"/>
  <c r="AI21" i="72"/>
  <c r="Q18" i="72" s="1"/>
  <c r="U118" i="72"/>
  <c r="U168" i="72"/>
  <c r="U18" i="72"/>
  <c r="U43" i="72"/>
  <c r="U68" i="72"/>
  <c r="U243" i="72"/>
  <c r="U143" i="72"/>
  <c r="U193" i="72"/>
  <c r="U93" i="72"/>
  <c r="T233" i="72"/>
  <c r="U240" i="72"/>
  <c r="T241" i="72"/>
  <c r="U241" i="72"/>
  <c r="E278" i="72"/>
  <c r="N278" i="72" s="1"/>
  <c r="X278" i="72" s="1"/>
  <c r="D277" i="72"/>
  <c r="M277" i="72" s="1"/>
  <c r="C276" i="72"/>
  <c r="L276" i="72" s="1"/>
  <c r="T276" i="72" s="1"/>
  <c r="E274" i="72"/>
  <c r="N274" i="72" s="1"/>
  <c r="X274" i="72" s="1"/>
  <c r="D273" i="72"/>
  <c r="M273" i="72" s="1"/>
  <c r="C272" i="72"/>
  <c r="L272" i="72" s="1"/>
  <c r="T272" i="72" s="1"/>
  <c r="E270" i="72"/>
  <c r="N270" i="72" s="1"/>
  <c r="X270" i="72" s="1"/>
  <c r="D269" i="72"/>
  <c r="M269" i="72" s="1"/>
  <c r="C268" i="72"/>
  <c r="L268" i="72" s="1"/>
  <c r="E266" i="72"/>
  <c r="N266" i="72" s="1"/>
  <c r="D265" i="72"/>
  <c r="M265" i="72" s="1"/>
  <c r="C264" i="72"/>
  <c r="L264" i="72" s="1"/>
  <c r="E262" i="72"/>
  <c r="N262" i="72" s="1"/>
  <c r="D261" i="72"/>
  <c r="M261" i="72" s="1"/>
  <c r="A281" i="72"/>
  <c r="D278" i="72"/>
  <c r="M278" i="72" s="1"/>
  <c r="C277" i="72"/>
  <c r="L277" i="72" s="1"/>
  <c r="T277" i="72" s="1"/>
  <c r="E275" i="72"/>
  <c r="N275" i="72" s="1"/>
  <c r="X275" i="72" s="1"/>
  <c r="D274" i="72"/>
  <c r="M274" i="72" s="1"/>
  <c r="C273" i="72"/>
  <c r="L273" i="72" s="1"/>
  <c r="T273" i="72" s="1"/>
  <c r="E271" i="72"/>
  <c r="N271" i="72" s="1"/>
  <c r="X271" i="72" s="1"/>
  <c r="D270" i="72"/>
  <c r="M270" i="72" s="1"/>
  <c r="C269" i="72"/>
  <c r="L269" i="72" s="1"/>
  <c r="T269" i="72" s="1"/>
  <c r="E267" i="72"/>
  <c r="N267" i="72" s="1"/>
  <c r="D266" i="72"/>
  <c r="M266" i="72" s="1"/>
  <c r="C265" i="72"/>
  <c r="L265" i="72" s="1"/>
  <c r="E263" i="72"/>
  <c r="N263" i="72" s="1"/>
  <c r="D262" i="72"/>
  <c r="M262" i="72" s="1"/>
  <c r="C261" i="72"/>
  <c r="L261" i="72" s="1"/>
  <c r="C278" i="72"/>
  <c r="L278" i="72" s="1"/>
  <c r="T278" i="72" s="1"/>
  <c r="E276" i="72"/>
  <c r="N276" i="72" s="1"/>
  <c r="X276" i="72" s="1"/>
  <c r="D275" i="72"/>
  <c r="M275" i="72" s="1"/>
  <c r="C274" i="72"/>
  <c r="L274" i="72" s="1"/>
  <c r="T274" i="72" s="1"/>
  <c r="E272" i="72"/>
  <c r="N272" i="72" s="1"/>
  <c r="X272" i="72" s="1"/>
  <c r="D271" i="72"/>
  <c r="M271" i="72" s="1"/>
  <c r="C270" i="72"/>
  <c r="L270" i="72" s="1"/>
  <c r="T270" i="72" s="1"/>
  <c r="E268" i="72"/>
  <c r="N268" i="72" s="1"/>
  <c r="D267" i="72"/>
  <c r="M267" i="72" s="1"/>
  <c r="C266" i="72"/>
  <c r="L266" i="72" s="1"/>
  <c r="T266" i="72" s="1"/>
  <c r="E264" i="72"/>
  <c r="N264" i="72" s="1"/>
  <c r="D263" i="72"/>
  <c r="C262" i="72"/>
  <c r="L262" i="72" s="1"/>
  <c r="E260" i="72"/>
  <c r="N260" i="72" s="1"/>
  <c r="E273" i="72"/>
  <c r="N273" i="72" s="1"/>
  <c r="X273" i="72" s="1"/>
  <c r="D268" i="72"/>
  <c r="M268" i="72" s="1"/>
  <c r="C263" i="72"/>
  <c r="L263" i="72" s="1"/>
  <c r="E277" i="72"/>
  <c r="N277" i="72" s="1"/>
  <c r="X277" i="72" s="1"/>
  <c r="D272" i="72"/>
  <c r="M272" i="72" s="1"/>
  <c r="C267" i="72"/>
  <c r="L267" i="72" s="1"/>
  <c r="E261" i="72"/>
  <c r="N261" i="72" s="1"/>
  <c r="X261" i="72" s="1"/>
  <c r="E259" i="72"/>
  <c r="N258" i="72"/>
  <c r="Y258" i="72" s="1"/>
  <c r="Y279" i="72" s="1"/>
  <c r="D276" i="72"/>
  <c r="M276" i="72" s="1"/>
  <c r="C271" i="72"/>
  <c r="L271" i="72" s="1"/>
  <c r="T271" i="72" s="1"/>
  <c r="E265" i="72"/>
  <c r="N265" i="72" s="1"/>
  <c r="X265" i="72" s="1"/>
  <c r="N259" i="72"/>
  <c r="X259" i="72" s="1"/>
  <c r="D259" i="72"/>
  <c r="M259" i="72" s="1"/>
  <c r="M258" i="72"/>
  <c r="E269" i="72"/>
  <c r="N269" i="72" s="1"/>
  <c r="X269" i="72" s="1"/>
  <c r="D264" i="72"/>
  <c r="M264" i="72" s="1"/>
  <c r="C259" i="72"/>
  <c r="L259" i="72" s="1"/>
  <c r="T259" i="72" s="1"/>
  <c r="C275" i="72"/>
  <c r="L275" i="72" s="1"/>
  <c r="T275" i="72" s="1"/>
  <c r="M263" i="72"/>
  <c r="L258" i="72"/>
  <c r="Y241" i="72"/>
  <c r="Y238" i="72"/>
  <c r="Y233" i="72"/>
  <c r="Y254" i="72" s="1"/>
  <c r="T210" i="72"/>
  <c r="U210" i="72"/>
  <c r="Y236" i="72"/>
  <c r="L234" i="72"/>
  <c r="C260" i="72" s="1"/>
  <c r="L260" i="72" s="1"/>
  <c r="D260" i="72" l="1"/>
  <c r="M260" i="72" s="1"/>
  <c r="T54" i="72"/>
  <c r="T129" i="72"/>
  <c r="T179" i="72"/>
  <c r="T79" i="72"/>
  <c r="T29" i="72"/>
  <c r="T154" i="72"/>
  <c r="T104" i="72"/>
  <c r="W186" i="72"/>
  <c r="AA186" i="72" s="1"/>
  <c r="V99" i="72"/>
  <c r="Z99" i="72" s="1"/>
  <c r="V271" i="72"/>
  <c r="Z271" i="72" s="1"/>
  <c r="W168" i="72"/>
  <c r="AA168" i="72" s="1"/>
  <c r="V158" i="72"/>
  <c r="Z158" i="72" s="1"/>
  <c r="V60" i="72"/>
  <c r="Z60" i="72" s="1"/>
  <c r="V276" i="72"/>
  <c r="Z276" i="72" s="1"/>
  <c r="V262" i="72"/>
  <c r="V273" i="72"/>
  <c r="Z273" i="72" s="1"/>
  <c r="W235" i="72"/>
  <c r="AA235" i="72" s="1"/>
  <c r="V149" i="72"/>
  <c r="Z149" i="72" s="1"/>
  <c r="W34" i="72"/>
  <c r="AA34" i="72" s="1"/>
  <c r="V266" i="72"/>
  <c r="V270" i="72"/>
  <c r="Z270" i="72" s="1"/>
  <c r="V122" i="72"/>
  <c r="Z122" i="72" s="1"/>
  <c r="V23" i="72"/>
  <c r="Z23" i="72" s="1"/>
  <c r="AQ21" i="72"/>
  <c r="R18" i="72" s="1"/>
  <c r="R43" i="72" s="1"/>
  <c r="R68" i="72" s="1"/>
  <c r="R93" i="72" s="1"/>
  <c r="R118" i="72" s="1"/>
  <c r="R143" i="72" s="1"/>
  <c r="R168" i="72" s="1"/>
  <c r="R193" i="72" s="1"/>
  <c r="R218" i="72" s="1"/>
  <c r="R243" i="72" s="1"/>
  <c r="R643" i="72" s="1"/>
  <c r="W239" i="72"/>
  <c r="AA239" i="72" s="1"/>
  <c r="V225" i="72"/>
  <c r="Z225" i="72" s="1"/>
  <c r="W159" i="72"/>
  <c r="AA159" i="72" s="1"/>
  <c r="W166" i="72"/>
  <c r="AA166" i="72" s="1"/>
  <c r="W15" i="72"/>
  <c r="AA15" i="72" s="1"/>
  <c r="V140" i="72"/>
  <c r="Z140" i="72" s="1"/>
  <c r="W63" i="72"/>
  <c r="AA63" i="72" s="1"/>
  <c r="V101" i="72"/>
  <c r="Z101" i="72" s="1"/>
  <c r="V64" i="72"/>
  <c r="Z64" i="72" s="1"/>
  <c r="V13" i="72"/>
  <c r="Z13" i="72" s="1"/>
  <c r="W217" i="72"/>
  <c r="AA217" i="72" s="1"/>
  <c r="V272" i="72"/>
  <c r="Z272" i="72" s="1"/>
  <c r="V278" i="72"/>
  <c r="Z278" i="72" s="1"/>
  <c r="V242" i="72"/>
  <c r="Z242" i="72" s="1"/>
  <c r="V195" i="72"/>
  <c r="Z195" i="72" s="1"/>
  <c r="V164" i="72"/>
  <c r="Z164" i="72" s="1"/>
  <c r="V133" i="72"/>
  <c r="Z133" i="72" s="1"/>
  <c r="W136" i="72"/>
  <c r="AA136" i="72" s="1"/>
  <c r="V123" i="72"/>
  <c r="Z123" i="72" s="1"/>
  <c r="V85" i="72"/>
  <c r="Z85" i="72" s="1"/>
  <c r="V75" i="72"/>
  <c r="Z75" i="72" s="1"/>
  <c r="W9" i="72"/>
  <c r="AA9" i="72" s="1"/>
  <c r="W92" i="72"/>
  <c r="AA92" i="72" s="1"/>
  <c r="V241" i="72"/>
  <c r="Z241" i="72" s="1"/>
  <c r="W118" i="72"/>
  <c r="AA118" i="72" s="1"/>
  <c r="W238" i="72"/>
  <c r="AA238" i="72" s="1"/>
  <c r="V193" i="72"/>
  <c r="Z193" i="72" s="1"/>
  <c r="V169" i="72"/>
  <c r="Z169" i="72" s="1"/>
  <c r="V142" i="72"/>
  <c r="Z142" i="72" s="1"/>
  <c r="V113" i="72"/>
  <c r="Z113" i="72" s="1"/>
  <c r="V84" i="72"/>
  <c r="Z84" i="72" s="1"/>
  <c r="AQ14" i="72"/>
  <c r="R11" i="72" s="1"/>
  <c r="R36" i="72" s="1"/>
  <c r="R61" i="72" s="1"/>
  <c r="R86" i="72" s="1"/>
  <c r="R111" i="72" s="1"/>
  <c r="R136" i="72" s="1"/>
  <c r="R161" i="72" s="1"/>
  <c r="R186" i="72" s="1"/>
  <c r="R211" i="72" s="1"/>
  <c r="R236" i="72" s="1"/>
  <c r="R261" i="72" s="1"/>
  <c r="R286" i="72" s="1"/>
  <c r="R311" i="72" s="1"/>
  <c r="R336" i="72" s="1"/>
  <c r="R361" i="72" s="1"/>
  <c r="R386" i="72" s="1"/>
  <c r="R411" i="72" s="1"/>
  <c r="R436" i="72" s="1"/>
  <c r="R461" i="72" s="1"/>
  <c r="R486" i="72" s="1"/>
  <c r="R511" i="72" s="1"/>
  <c r="R536" i="72" s="1"/>
  <c r="R561" i="72" s="1"/>
  <c r="R586" i="72" s="1"/>
  <c r="R611" i="72" s="1"/>
  <c r="V15" i="72"/>
  <c r="Z15" i="72" s="1"/>
  <c r="V20" i="72"/>
  <c r="Z20" i="72" s="1"/>
  <c r="V224" i="72"/>
  <c r="Z224" i="72" s="1"/>
  <c r="T204" i="72"/>
  <c r="V240" i="72"/>
  <c r="Z240" i="72" s="1"/>
  <c r="W241" i="72"/>
  <c r="AA241" i="72" s="1"/>
  <c r="V263" i="72"/>
  <c r="V275" i="72"/>
  <c r="Z275" i="72" s="1"/>
  <c r="V261" i="72"/>
  <c r="V265" i="72"/>
  <c r="V269" i="72"/>
  <c r="Z269" i="72" s="1"/>
  <c r="V274" i="72"/>
  <c r="Z274" i="72" s="1"/>
  <c r="V277" i="72"/>
  <c r="Z277" i="72" s="1"/>
  <c r="W143" i="72"/>
  <c r="AA143" i="72" s="1"/>
  <c r="AN21" i="72"/>
  <c r="AO21" i="72" s="1"/>
  <c r="W43" i="72"/>
  <c r="AA43" i="72" s="1"/>
  <c r="V239" i="72"/>
  <c r="Z239" i="72" s="1"/>
  <c r="V235" i="72"/>
  <c r="Z235" i="72" s="1"/>
  <c r="V238" i="72"/>
  <c r="Z238" i="72" s="1"/>
  <c r="W236" i="72"/>
  <c r="W240" i="72"/>
  <c r="AA240" i="72" s="1"/>
  <c r="V211" i="72"/>
  <c r="Z211" i="72" s="1"/>
  <c r="V223" i="72"/>
  <c r="Z223" i="72" s="1"/>
  <c r="V160" i="72"/>
  <c r="Z160" i="72" s="1"/>
  <c r="W184" i="72"/>
  <c r="AA184" i="72" s="1"/>
  <c r="W208" i="72"/>
  <c r="W229" i="72" s="1"/>
  <c r="AN19" i="72"/>
  <c r="AO19" i="72" s="1"/>
  <c r="W187" i="72"/>
  <c r="AA187" i="72" s="1"/>
  <c r="V186" i="72"/>
  <c r="Z186" i="72" s="1"/>
  <c r="W40" i="72"/>
  <c r="AA40" i="72" s="1"/>
  <c r="AQ18" i="72"/>
  <c r="R15" i="72" s="1"/>
  <c r="R40" i="72" s="1"/>
  <c r="R65" i="72" s="1"/>
  <c r="R90" i="72" s="1"/>
  <c r="R115" i="72" s="1"/>
  <c r="R140" i="72" s="1"/>
  <c r="R165" i="72" s="1"/>
  <c r="R190" i="72" s="1"/>
  <c r="R215" i="72" s="1"/>
  <c r="R240" i="72" s="1"/>
  <c r="R640" i="72" s="1"/>
  <c r="V176" i="72"/>
  <c r="Z176" i="72" s="1"/>
  <c r="W163" i="72"/>
  <c r="AA163" i="72" s="1"/>
  <c r="W138" i="72"/>
  <c r="AA138" i="72" s="1"/>
  <c r="AN17" i="72"/>
  <c r="AO17" i="72" s="1"/>
  <c r="V141" i="72"/>
  <c r="Z141" i="72" s="1"/>
  <c r="W139" i="72"/>
  <c r="AA139" i="72" s="1"/>
  <c r="V143" i="72"/>
  <c r="Z143" i="72" s="1"/>
  <c r="AQ16" i="72"/>
  <c r="R13" i="72" s="1"/>
  <c r="R38" i="72" s="1"/>
  <c r="R63" i="72" s="1"/>
  <c r="R88" i="72" s="1"/>
  <c r="R113" i="72" s="1"/>
  <c r="R138" i="72" s="1"/>
  <c r="R163" i="72" s="1"/>
  <c r="R188" i="72" s="1"/>
  <c r="R213" i="72" s="1"/>
  <c r="R238" i="72" s="1"/>
  <c r="R638" i="72" s="1"/>
  <c r="V115" i="72"/>
  <c r="Z115" i="72" s="1"/>
  <c r="V124" i="72"/>
  <c r="Z124" i="72" s="1"/>
  <c r="W12" i="72"/>
  <c r="AA12" i="72" s="1"/>
  <c r="W37" i="72"/>
  <c r="AA37" i="72" s="1"/>
  <c r="V98" i="72"/>
  <c r="Z98" i="72" s="1"/>
  <c r="W86" i="72"/>
  <c r="AA86" i="72" s="1"/>
  <c r="AN14" i="72"/>
  <c r="AO14" i="72" s="1"/>
  <c r="V69" i="72"/>
  <c r="Z69" i="72" s="1"/>
  <c r="W84" i="72"/>
  <c r="AA84" i="72" s="1"/>
  <c r="W11" i="72"/>
  <c r="AA11" i="72" s="1"/>
  <c r="V34" i="72"/>
  <c r="Z34" i="72" s="1"/>
  <c r="V37" i="72"/>
  <c r="Z37" i="72" s="1"/>
  <c r="V42" i="72"/>
  <c r="Z42" i="72" s="1"/>
  <c r="V46" i="72"/>
  <c r="Z46" i="72" s="1"/>
  <c r="V27" i="72"/>
  <c r="Z27" i="72" s="1"/>
  <c r="V11" i="72"/>
  <c r="Z11" i="72" s="1"/>
  <c r="AN11" i="72"/>
  <c r="AO11" i="72" s="1"/>
  <c r="W142" i="72"/>
  <c r="AA142" i="72" s="1"/>
  <c r="W42" i="72"/>
  <c r="AA42" i="72" s="1"/>
  <c r="V218" i="72"/>
  <c r="Z218" i="72" s="1"/>
  <c r="V246" i="72"/>
  <c r="Z246" i="72" s="1"/>
  <c r="W18" i="72"/>
  <c r="AA18" i="72" s="1"/>
  <c r="W243" i="72"/>
  <c r="AA243" i="72" s="1"/>
  <c r="W93" i="72"/>
  <c r="AA93" i="72" s="1"/>
  <c r="V236" i="72"/>
  <c r="Z236" i="72" s="1"/>
  <c r="V210" i="72"/>
  <c r="Z210" i="72" s="1"/>
  <c r="W116" i="72"/>
  <c r="AA116" i="72" s="1"/>
  <c r="V187" i="72"/>
  <c r="Z187" i="72" s="1"/>
  <c r="W189" i="72"/>
  <c r="AA189" i="72" s="1"/>
  <c r="V159" i="72"/>
  <c r="Z159" i="72" s="1"/>
  <c r="V200" i="72"/>
  <c r="Z200" i="72" s="1"/>
  <c r="V196" i="72"/>
  <c r="Z196" i="72" s="1"/>
  <c r="W140" i="72"/>
  <c r="AA140" i="72" s="1"/>
  <c r="W134" i="72"/>
  <c r="AA134" i="72" s="1"/>
  <c r="V173" i="72"/>
  <c r="Z173" i="72" s="1"/>
  <c r="V177" i="72"/>
  <c r="Z177" i="72" s="1"/>
  <c r="W135" i="72"/>
  <c r="AA135" i="72" s="1"/>
  <c r="W39" i="72"/>
  <c r="AA39" i="72" s="1"/>
  <c r="V137" i="72"/>
  <c r="Z137" i="72" s="1"/>
  <c r="W89" i="72"/>
  <c r="AA89" i="72" s="1"/>
  <c r="V108" i="72"/>
  <c r="Z108" i="72" s="1"/>
  <c r="V120" i="72"/>
  <c r="Z120" i="72" s="1"/>
  <c r="V121" i="72"/>
  <c r="Z121" i="72" s="1"/>
  <c r="V126" i="72"/>
  <c r="Z126" i="72" s="1"/>
  <c r="AQ15" i="72"/>
  <c r="R12" i="72" s="1"/>
  <c r="R37" i="72" s="1"/>
  <c r="R62" i="72" s="1"/>
  <c r="R87" i="72" s="1"/>
  <c r="R112" i="72" s="1"/>
  <c r="R137" i="72" s="1"/>
  <c r="R162" i="72" s="1"/>
  <c r="R187" i="72" s="1"/>
  <c r="R212" i="72" s="1"/>
  <c r="R237" i="72" s="1"/>
  <c r="R262" i="72" s="1"/>
  <c r="R287" i="72" s="1"/>
  <c r="R312" i="72" s="1"/>
  <c r="R337" i="72" s="1"/>
  <c r="R362" i="72" s="1"/>
  <c r="R387" i="72" s="1"/>
  <c r="R412" i="72" s="1"/>
  <c r="R437" i="72" s="1"/>
  <c r="R462" i="72" s="1"/>
  <c r="R487" i="72" s="1"/>
  <c r="R512" i="72" s="1"/>
  <c r="R537" i="72" s="1"/>
  <c r="R562" i="72" s="1"/>
  <c r="R587" i="72" s="1"/>
  <c r="R612" i="72" s="1"/>
  <c r="V90" i="72"/>
  <c r="Z90" i="72" s="1"/>
  <c r="V97" i="72"/>
  <c r="Z97" i="72" s="1"/>
  <c r="W62" i="72"/>
  <c r="AA62" i="72" s="1"/>
  <c r="V71" i="72"/>
  <c r="Z71" i="72" s="1"/>
  <c r="V72" i="72"/>
  <c r="Z72" i="72" s="1"/>
  <c r="V59" i="72"/>
  <c r="Z59" i="72" s="1"/>
  <c r="V67" i="72"/>
  <c r="Z67" i="72" s="1"/>
  <c r="V47" i="72"/>
  <c r="Z47" i="72" s="1"/>
  <c r="W35" i="72"/>
  <c r="AA35" i="72" s="1"/>
  <c r="V53" i="72"/>
  <c r="Z53" i="72" s="1"/>
  <c r="V38" i="72"/>
  <c r="Z38" i="72" s="1"/>
  <c r="V25" i="72"/>
  <c r="Z25" i="72" s="1"/>
  <c r="V19" i="72"/>
  <c r="Z19" i="72" s="1"/>
  <c r="V17" i="72"/>
  <c r="Z17" i="72" s="1"/>
  <c r="V252" i="72"/>
  <c r="Z252" i="72" s="1"/>
  <c r="V208" i="72"/>
  <c r="Z208" i="72" s="1"/>
  <c r="W117" i="72"/>
  <c r="AA117" i="72" s="1"/>
  <c r="V213" i="72"/>
  <c r="Z213" i="72" s="1"/>
  <c r="V233" i="72"/>
  <c r="Z233" i="72" s="1"/>
  <c r="W258" i="72"/>
  <c r="W279" i="72" s="1"/>
  <c r="W218" i="72"/>
  <c r="AA218" i="72" s="1"/>
  <c r="W193" i="72"/>
  <c r="AA193" i="72" s="1"/>
  <c r="W68" i="72"/>
  <c r="AA68" i="72" s="1"/>
  <c r="V183" i="72"/>
  <c r="Z183" i="72" s="1"/>
  <c r="V197" i="72"/>
  <c r="Z197" i="72" s="1"/>
  <c r="W183" i="72"/>
  <c r="W204" i="72" s="1"/>
  <c r="W190" i="72"/>
  <c r="AA190" i="72" s="1"/>
  <c r="W66" i="72"/>
  <c r="AA66" i="72" s="1"/>
  <c r="W115" i="72"/>
  <c r="AA115" i="72" s="1"/>
  <c r="V165" i="72"/>
  <c r="Z165" i="72" s="1"/>
  <c r="V167" i="72"/>
  <c r="Z167" i="72" s="1"/>
  <c r="V168" i="72"/>
  <c r="Z168" i="72" s="1"/>
  <c r="W114" i="72"/>
  <c r="AA114" i="72" s="1"/>
  <c r="V147" i="72"/>
  <c r="Z147" i="72" s="1"/>
  <c r="V138" i="72"/>
  <c r="Z138" i="72" s="1"/>
  <c r="V136" i="72"/>
  <c r="Z136" i="72" s="1"/>
  <c r="W161" i="72"/>
  <c r="AA161" i="72" s="1"/>
  <c r="V127" i="72"/>
  <c r="Z127" i="72" s="1"/>
  <c r="W13" i="72"/>
  <c r="AA13" i="72" s="1"/>
  <c r="W112" i="72"/>
  <c r="AA112" i="72" s="1"/>
  <c r="V117" i="72"/>
  <c r="Z117" i="72" s="1"/>
  <c r="V86" i="72"/>
  <c r="Z86" i="72" s="1"/>
  <c r="W87" i="72"/>
  <c r="AA87" i="72" s="1"/>
  <c r="V103" i="72"/>
  <c r="Z103" i="72" s="1"/>
  <c r="V91" i="72"/>
  <c r="Z91" i="72" s="1"/>
  <c r="W36" i="72"/>
  <c r="AA36" i="72" s="1"/>
  <c r="V70" i="72"/>
  <c r="Z70" i="72" s="1"/>
  <c r="V61" i="72"/>
  <c r="Z61" i="72" s="1"/>
  <c r="V77" i="72"/>
  <c r="Z77" i="72" s="1"/>
  <c r="AQ13" i="72"/>
  <c r="R10" i="72" s="1"/>
  <c r="R35" i="72" s="1"/>
  <c r="R60" i="72" s="1"/>
  <c r="R85" i="72" s="1"/>
  <c r="R110" i="72" s="1"/>
  <c r="R135" i="72" s="1"/>
  <c r="R160" i="72" s="1"/>
  <c r="R185" i="72" s="1"/>
  <c r="R210" i="72" s="1"/>
  <c r="R235" i="72" s="1"/>
  <c r="R635" i="72" s="1"/>
  <c r="V48" i="72"/>
  <c r="Z48" i="72" s="1"/>
  <c r="W10" i="72"/>
  <c r="AA10" i="72" s="1"/>
  <c r="W8" i="72"/>
  <c r="W29" i="72" s="1"/>
  <c r="V9" i="72"/>
  <c r="Z9" i="72" s="1"/>
  <c r="AQ11" i="72"/>
  <c r="R8" i="72" s="1"/>
  <c r="R33" i="72" s="1"/>
  <c r="R58" i="72" s="1"/>
  <c r="R83" i="72" s="1"/>
  <c r="R108" i="72" s="1"/>
  <c r="R133" i="72" s="1"/>
  <c r="R158" i="72" s="1"/>
  <c r="R183" i="72" s="1"/>
  <c r="R208" i="72" s="1"/>
  <c r="R233" i="72" s="1"/>
  <c r="R633" i="72" s="1"/>
  <c r="V219" i="72"/>
  <c r="Z219" i="72" s="1"/>
  <c r="V253" i="72"/>
  <c r="Z253" i="72" s="1"/>
  <c r="W211" i="72"/>
  <c r="AA211" i="72" s="1"/>
  <c r="W67" i="72"/>
  <c r="AA67" i="72" s="1"/>
  <c r="W167" i="72"/>
  <c r="AA167" i="72" s="1"/>
  <c r="W214" i="72"/>
  <c r="V215" i="72"/>
  <c r="Z215" i="72" s="1"/>
  <c r="W17" i="72"/>
  <c r="AA17" i="72" s="1"/>
  <c r="W216" i="72"/>
  <c r="AA216" i="72" s="1"/>
  <c r="AQ20" i="72"/>
  <c r="R17" i="72" s="1"/>
  <c r="O17" i="72" s="1"/>
  <c r="V250" i="72"/>
  <c r="Z250" i="72" s="1"/>
  <c r="V248" i="72"/>
  <c r="Z248" i="72" s="1"/>
  <c r="V227" i="72"/>
  <c r="Z227" i="72" s="1"/>
  <c r="V245" i="72"/>
  <c r="Z245" i="72" s="1"/>
  <c r="AN20" i="72"/>
  <c r="AO20" i="72" s="1"/>
  <c r="V214" i="72"/>
  <c r="Z214" i="72" s="1"/>
  <c r="V226" i="72"/>
  <c r="Z226" i="72" s="1"/>
  <c r="V247" i="72"/>
  <c r="Z247" i="72" s="1"/>
  <c r="W212" i="72"/>
  <c r="AA212" i="72" s="1"/>
  <c r="W215" i="72"/>
  <c r="AA215" i="72" s="1"/>
  <c r="V8" i="72"/>
  <c r="Z8" i="72" s="1"/>
  <c r="V33" i="72"/>
  <c r="Z33" i="72" s="1"/>
  <c r="AN12" i="72"/>
  <c r="AO12" i="72" s="1"/>
  <c r="V26" i="72"/>
  <c r="Z26" i="72" s="1"/>
  <c r="V16" i="72"/>
  <c r="Z16" i="72" s="1"/>
  <c r="V12" i="72"/>
  <c r="Z12" i="72" s="1"/>
  <c r="V10" i="72"/>
  <c r="Z10" i="72" s="1"/>
  <c r="V50" i="72"/>
  <c r="Z50" i="72" s="1"/>
  <c r="V41" i="72"/>
  <c r="Z41" i="72" s="1"/>
  <c r="V49" i="72"/>
  <c r="Z49" i="72" s="1"/>
  <c r="V45" i="72"/>
  <c r="Z45" i="72" s="1"/>
  <c r="V43" i="72"/>
  <c r="Z43" i="72" s="1"/>
  <c r="V51" i="72"/>
  <c r="Z51" i="72" s="1"/>
  <c r="V39" i="72"/>
  <c r="Z39" i="72" s="1"/>
  <c r="V74" i="72"/>
  <c r="Z74" i="72" s="1"/>
  <c r="V58" i="72"/>
  <c r="V66" i="72"/>
  <c r="Z66" i="72" s="1"/>
  <c r="W61" i="72"/>
  <c r="AA61" i="72" s="1"/>
  <c r="V78" i="72"/>
  <c r="Z78" i="72" s="1"/>
  <c r="W59" i="72"/>
  <c r="AA59" i="72" s="1"/>
  <c r="V63" i="72"/>
  <c r="Z63" i="72" s="1"/>
  <c r="W60" i="72"/>
  <c r="AA60" i="72" s="1"/>
  <c r="V94" i="72"/>
  <c r="Z94" i="72" s="1"/>
  <c r="V83" i="72"/>
  <c r="Z83" i="72" s="1"/>
  <c r="V102" i="72"/>
  <c r="Z102" i="72" s="1"/>
  <c r="V95" i="72"/>
  <c r="Z95" i="72" s="1"/>
  <c r="W85" i="72"/>
  <c r="AA85" i="72" s="1"/>
  <c r="V93" i="72"/>
  <c r="Z93" i="72" s="1"/>
  <c r="V87" i="72"/>
  <c r="Z87" i="72" s="1"/>
  <c r="V116" i="72"/>
  <c r="Z116" i="72" s="1"/>
  <c r="V118" i="72"/>
  <c r="Z118" i="72" s="1"/>
  <c r="W111" i="72"/>
  <c r="AA111" i="72" s="1"/>
  <c r="W137" i="72"/>
  <c r="AA137" i="72" s="1"/>
  <c r="V128" i="72"/>
  <c r="Z128" i="72" s="1"/>
  <c r="V125" i="72"/>
  <c r="Z125" i="72" s="1"/>
  <c r="W88" i="72"/>
  <c r="AA88" i="72" s="1"/>
  <c r="V111" i="72"/>
  <c r="Z111" i="72" s="1"/>
  <c r="V148" i="72"/>
  <c r="Z148" i="72" s="1"/>
  <c r="V109" i="72"/>
  <c r="Z109" i="72" s="1"/>
  <c r="V152" i="72"/>
  <c r="Z152" i="72" s="1"/>
  <c r="V145" i="72"/>
  <c r="Z145" i="72" s="1"/>
  <c r="V151" i="72"/>
  <c r="Z151" i="72" s="1"/>
  <c r="W158" i="72"/>
  <c r="W179" i="72" s="1"/>
  <c r="V146" i="72"/>
  <c r="Z146" i="72" s="1"/>
  <c r="V135" i="72"/>
  <c r="Z135" i="72" s="1"/>
  <c r="W162" i="72"/>
  <c r="AA162" i="72" s="1"/>
  <c r="V172" i="72"/>
  <c r="Z172" i="72" s="1"/>
  <c r="W164" i="72"/>
  <c r="AA164" i="72" s="1"/>
  <c r="V175" i="72"/>
  <c r="Z175" i="72" s="1"/>
  <c r="AN18" i="72"/>
  <c r="AO18" i="72" s="1"/>
  <c r="V166" i="72"/>
  <c r="Z166" i="72" s="1"/>
  <c r="W165" i="72"/>
  <c r="AA165" i="72" s="1"/>
  <c r="V162" i="72"/>
  <c r="Z162" i="72" s="1"/>
  <c r="V174" i="72"/>
  <c r="Z174" i="72" s="1"/>
  <c r="V198" i="72"/>
  <c r="Z198" i="72" s="1"/>
  <c r="V188" i="72"/>
  <c r="Z188" i="72" s="1"/>
  <c r="V203" i="72"/>
  <c r="Z203" i="72" s="1"/>
  <c r="W160" i="72"/>
  <c r="AA160" i="72" s="1"/>
  <c r="V184" i="72"/>
  <c r="Z184" i="72" s="1"/>
  <c r="W91" i="72"/>
  <c r="AA91" i="72" s="1"/>
  <c r="V192" i="72"/>
  <c r="Z192" i="72" s="1"/>
  <c r="W141" i="72"/>
  <c r="AA141" i="72" s="1"/>
  <c r="V190" i="72"/>
  <c r="Z190" i="72" s="1"/>
  <c r="V185" i="72"/>
  <c r="W191" i="72"/>
  <c r="AA191" i="72" s="1"/>
  <c r="W185" i="72"/>
  <c r="AA185" i="72" s="1"/>
  <c r="V217" i="72"/>
  <c r="Z217" i="72" s="1"/>
  <c r="V237" i="72"/>
  <c r="Z237" i="72" s="1"/>
  <c r="W242" i="72"/>
  <c r="AA242" i="72" s="1"/>
  <c r="V209" i="72"/>
  <c r="Z209" i="72" s="1"/>
  <c r="V251" i="72"/>
  <c r="Z251" i="72" s="1"/>
  <c r="W233" i="72"/>
  <c r="W254" i="72" s="1"/>
  <c r="V244" i="72"/>
  <c r="Z244" i="72" s="1"/>
  <c r="V212" i="72"/>
  <c r="Z212" i="72" s="1"/>
  <c r="V221" i="72"/>
  <c r="Z221" i="72" s="1"/>
  <c r="V220" i="72"/>
  <c r="Z220" i="72" s="1"/>
  <c r="V243" i="72"/>
  <c r="Z243" i="72" s="1"/>
  <c r="W192" i="72"/>
  <c r="AA192" i="72" s="1"/>
  <c r="W210" i="72"/>
  <c r="AA210" i="72" s="1"/>
  <c r="V24" i="72"/>
  <c r="Z24" i="72" s="1"/>
  <c r="V633" i="72"/>
  <c r="Z633" i="72" s="1"/>
  <c r="W33" i="72"/>
  <c r="W54" i="72" s="1"/>
  <c r="V28" i="72"/>
  <c r="Z28" i="72" s="1"/>
  <c r="V22" i="72"/>
  <c r="Z22" i="72" s="1"/>
  <c r="AQ12" i="72"/>
  <c r="R9" i="72" s="1"/>
  <c r="R34" i="72" s="1"/>
  <c r="R59" i="72" s="1"/>
  <c r="R84" i="72" s="1"/>
  <c r="R109" i="72" s="1"/>
  <c r="R134" i="72" s="1"/>
  <c r="R159" i="72" s="1"/>
  <c r="R184" i="72" s="1"/>
  <c r="R209" i="72" s="1"/>
  <c r="R234" i="72" s="1"/>
  <c r="R634" i="72" s="1"/>
  <c r="V21" i="72"/>
  <c r="Z21" i="72" s="1"/>
  <c r="V40" i="72"/>
  <c r="Z40" i="72" s="1"/>
  <c r="V52" i="72"/>
  <c r="Z52" i="72" s="1"/>
  <c r="AN13" i="72"/>
  <c r="AO13" i="72" s="1"/>
  <c r="V44" i="72"/>
  <c r="Z44" i="72" s="1"/>
  <c r="V18" i="72"/>
  <c r="Z18" i="72" s="1"/>
  <c r="V35" i="72"/>
  <c r="V14" i="72"/>
  <c r="Z14" i="72" s="1"/>
  <c r="V36" i="72"/>
  <c r="Z36" i="72" s="1"/>
  <c r="V68" i="72"/>
  <c r="Z68" i="72" s="1"/>
  <c r="V65" i="72"/>
  <c r="Z65" i="72" s="1"/>
  <c r="W58" i="72"/>
  <c r="W79" i="72" s="1"/>
  <c r="V76" i="72"/>
  <c r="Z76" i="72" s="1"/>
  <c r="W83" i="72"/>
  <c r="W104" i="72" s="1"/>
  <c r="V73" i="72"/>
  <c r="Z73" i="72" s="1"/>
  <c r="V92" i="72"/>
  <c r="Z92" i="72" s="1"/>
  <c r="V96" i="72"/>
  <c r="Z96" i="72" s="1"/>
  <c r="V100" i="72"/>
  <c r="Z100" i="72" s="1"/>
  <c r="AN15" i="72"/>
  <c r="AO15" i="72" s="1"/>
  <c r="V89" i="72"/>
  <c r="Z89" i="72" s="1"/>
  <c r="W108" i="72"/>
  <c r="W129" i="72" s="1"/>
  <c r="V88" i="72"/>
  <c r="Z88" i="72" s="1"/>
  <c r="V62" i="72"/>
  <c r="Z62" i="72" s="1"/>
  <c r="V112" i="72"/>
  <c r="Z112" i="72" s="1"/>
  <c r="V114" i="72"/>
  <c r="Z114" i="72" s="1"/>
  <c r="AN16" i="72"/>
  <c r="AO16" i="72" s="1"/>
  <c r="W110" i="72"/>
  <c r="AA110" i="72" s="1"/>
  <c r="V119" i="72"/>
  <c r="Z119" i="72" s="1"/>
  <c r="W38" i="72"/>
  <c r="AA38" i="72" s="1"/>
  <c r="V110" i="72"/>
  <c r="Z110" i="72" s="1"/>
  <c r="W113" i="72"/>
  <c r="AA113" i="72" s="1"/>
  <c r="V150" i="72"/>
  <c r="Z150" i="72" s="1"/>
  <c r="W64" i="72"/>
  <c r="AA64" i="72" s="1"/>
  <c r="W133" i="72"/>
  <c r="W154" i="72" s="1"/>
  <c r="V139" i="72"/>
  <c r="Z139" i="72" s="1"/>
  <c r="V144" i="72"/>
  <c r="Z144" i="72" s="1"/>
  <c r="W109" i="72"/>
  <c r="AA109" i="72" s="1"/>
  <c r="W14" i="72"/>
  <c r="AA14" i="72" s="1"/>
  <c r="V153" i="72"/>
  <c r="Z153" i="72" s="1"/>
  <c r="AQ17" i="72"/>
  <c r="R14" i="72" s="1"/>
  <c r="R39" i="72" s="1"/>
  <c r="R64" i="72" s="1"/>
  <c r="R89" i="72" s="1"/>
  <c r="R114" i="72" s="1"/>
  <c r="R139" i="72" s="1"/>
  <c r="R164" i="72" s="1"/>
  <c r="R189" i="72" s="1"/>
  <c r="R214" i="72" s="1"/>
  <c r="R239" i="72" s="1"/>
  <c r="R264" i="72" s="1"/>
  <c r="R289" i="72" s="1"/>
  <c r="R314" i="72" s="1"/>
  <c r="R339" i="72" s="1"/>
  <c r="R364" i="72" s="1"/>
  <c r="R389" i="72" s="1"/>
  <c r="R414" i="72" s="1"/>
  <c r="R439" i="72" s="1"/>
  <c r="R464" i="72" s="1"/>
  <c r="R489" i="72" s="1"/>
  <c r="R514" i="72" s="1"/>
  <c r="R539" i="72" s="1"/>
  <c r="R564" i="72" s="1"/>
  <c r="R589" i="72" s="1"/>
  <c r="R614" i="72" s="1"/>
  <c r="V171" i="72"/>
  <c r="Z171" i="72" s="1"/>
  <c r="W90" i="72"/>
  <c r="AA90" i="72" s="1"/>
  <c r="V170" i="72"/>
  <c r="Z170" i="72" s="1"/>
  <c r="W65" i="72"/>
  <c r="AA65" i="72" s="1"/>
  <c r="V163" i="72"/>
  <c r="Z163" i="72" s="1"/>
  <c r="V178" i="72"/>
  <c r="Z178" i="72" s="1"/>
  <c r="V134" i="72"/>
  <c r="V161" i="72"/>
  <c r="Z161" i="72" s="1"/>
  <c r="V191" i="72"/>
  <c r="Z191" i="72" s="1"/>
  <c r="W209" i="72"/>
  <c r="AA209" i="72" s="1"/>
  <c r="V194" i="72"/>
  <c r="Z194" i="72" s="1"/>
  <c r="V201" i="72"/>
  <c r="Z201" i="72" s="1"/>
  <c r="W188" i="72"/>
  <c r="AA188" i="72" s="1"/>
  <c r="W16" i="72"/>
  <c r="AA16" i="72" s="1"/>
  <c r="V202" i="72"/>
  <c r="Z202" i="72" s="1"/>
  <c r="W41" i="72"/>
  <c r="AA41" i="72" s="1"/>
  <c r="V199" i="72"/>
  <c r="Z199" i="72" s="1"/>
  <c r="V189" i="72"/>
  <c r="Z189" i="72" s="1"/>
  <c r="AQ19" i="72"/>
  <c r="R16" i="72" s="1"/>
  <c r="P16" i="72" s="1"/>
  <c r="W213" i="72"/>
  <c r="AA213" i="72" s="1"/>
  <c r="V216" i="72"/>
  <c r="Z216" i="72" s="1"/>
  <c r="V222" i="72"/>
  <c r="Z222" i="72" s="1"/>
  <c r="V228" i="72"/>
  <c r="Z228" i="72" s="1"/>
  <c r="W237" i="72"/>
  <c r="AA237" i="72" s="1"/>
  <c r="AA214" i="72"/>
  <c r="Z249" i="72"/>
  <c r="U236" i="72"/>
  <c r="C254" i="72"/>
  <c r="U258" i="72"/>
  <c r="U279" i="72" s="1"/>
  <c r="L254" i="72"/>
  <c r="L255" i="72" s="1"/>
  <c r="E255" i="72" s="1"/>
  <c r="W265" i="72"/>
  <c r="S266" i="72"/>
  <c r="S291" i="72" s="1"/>
  <c r="S316" i="72" s="1"/>
  <c r="S341" i="72" s="1"/>
  <c r="S366" i="72" s="1"/>
  <c r="S391" i="72" s="1"/>
  <c r="S416" i="72" s="1"/>
  <c r="S441" i="72" s="1"/>
  <c r="S466" i="72" s="1"/>
  <c r="S491" i="72" s="1"/>
  <c r="S516" i="72" s="1"/>
  <c r="S541" i="72" s="1"/>
  <c r="S566" i="72" s="1"/>
  <c r="S591" i="72" s="1"/>
  <c r="S616" i="72" s="1"/>
  <c r="S641" i="72"/>
  <c r="S265" i="72"/>
  <c r="S290" i="72" s="1"/>
  <c r="S315" i="72" s="1"/>
  <c r="S340" i="72" s="1"/>
  <c r="S365" i="72" s="1"/>
  <c r="S390" i="72" s="1"/>
  <c r="S415" i="72" s="1"/>
  <c r="S440" i="72" s="1"/>
  <c r="S465" i="72" s="1"/>
  <c r="S490" i="72" s="1"/>
  <c r="S515" i="72" s="1"/>
  <c r="S540" i="72" s="1"/>
  <c r="S565" i="72" s="1"/>
  <c r="S590" i="72" s="1"/>
  <c r="S615" i="72" s="1"/>
  <c r="S640" i="72"/>
  <c r="S262" i="72"/>
  <c r="S287" i="72" s="1"/>
  <c r="S312" i="72" s="1"/>
  <c r="S337" i="72" s="1"/>
  <c r="S362" i="72" s="1"/>
  <c r="S387" i="72" s="1"/>
  <c r="S412" i="72" s="1"/>
  <c r="S437" i="72" s="1"/>
  <c r="S462" i="72" s="1"/>
  <c r="S487" i="72" s="1"/>
  <c r="S512" i="72" s="1"/>
  <c r="S537" i="72" s="1"/>
  <c r="S562" i="72" s="1"/>
  <c r="S587" i="72" s="1"/>
  <c r="S612" i="72" s="1"/>
  <c r="S637" i="72"/>
  <c r="S635" i="72"/>
  <c r="S260" i="72"/>
  <c r="S285" i="72" s="1"/>
  <c r="S310" i="72" s="1"/>
  <c r="S335" i="72" s="1"/>
  <c r="S360" i="72" s="1"/>
  <c r="S385" i="72" s="1"/>
  <c r="S410" i="72" s="1"/>
  <c r="S435" i="72" s="1"/>
  <c r="S460" i="72" s="1"/>
  <c r="S485" i="72" s="1"/>
  <c r="S510" i="72" s="1"/>
  <c r="S535" i="72" s="1"/>
  <c r="S560" i="72" s="1"/>
  <c r="S585" i="72" s="1"/>
  <c r="S610" i="72" s="1"/>
  <c r="S259" i="72"/>
  <c r="S284" i="72" s="1"/>
  <c r="S309" i="72" s="1"/>
  <c r="S334" i="72" s="1"/>
  <c r="S359" i="72" s="1"/>
  <c r="S384" i="72" s="1"/>
  <c r="S409" i="72" s="1"/>
  <c r="S434" i="72" s="1"/>
  <c r="S459" i="72" s="1"/>
  <c r="S484" i="72" s="1"/>
  <c r="S509" i="72" s="1"/>
  <c r="S534" i="72" s="1"/>
  <c r="S559" i="72" s="1"/>
  <c r="S584" i="72" s="1"/>
  <c r="S609" i="72" s="1"/>
  <c r="S634" i="72"/>
  <c r="Q61" i="72"/>
  <c r="S264" i="72"/>
  <c r="S289" i="72" s="1"/>
  <c r="S314" i="72" s="1"/>
  <c r="S339" i="72" s="1"/>
  <c r="S364" i="72" s="1"/>
  <c r="S389" i="72" s="1"/>
  <c r="S414" i="72" s="1"/>
  <c r="S439" i="72" s="1"/>
  <c r="S464" i="72" s="1"/>
  <c r="S489" i="72" s="1"/>
  <c r="S514" i="72" s="1"/>
  <c r="S539" i="72" s="1"/>
  <c r="S564" i="72" s="1"/>
  <c r="S589" i="72" s="1"/>
  <c r="S614" i="72" s="1"/>
  <c r="S639" i="72"/>
  <c r="S261" i="72"/>
  <c r="S286" i="72" s="1"/>
  <c r="S311" i="72" s="1"/>
  <c r="S336" i="72" s="1"/>
  <c r="S361" i="72" s="1"/>
  <c r="S386" i="72" s="1"/>
  <c r="S411" i="72" s="1"/>
  <c r="S436" i="72" s="1"/>
  <c r="S461" i="72" s="1"/>
  <c r="S486" i="72" s="1"/>
  <c r="S511" i="72" s="1"/>
  <c r="S536" i="72" s="1"/>
  <c r="S561" i="72" s="1"/>
  <c r="S586" i="72" s="1"/>
  <c r="S611" i="72" s="1"/>
  <c r="S636" i="72"/>
  <c r="S258" i="72"/>
  <c r="S283" i="72" s="1"/>
  <c r="S308" i="72" s="1"/>
  <c r="S333" i="72" s="1"/>
  <c r="S358" i="72" s="1"/>
  <c r="S383" i="72" s="1"/>
  <c r="S408" i="72" s="1"/>
  <c r="S433" i="72" s="1"/>
  <c r="S458" i="72" s="1"/>
  <c r="S483" i="72" s="1"/>
  <c r="S508" i="72" s="1"/>
  <c r="S533" i="72" s="1"/>
  <c r="S558" i="72" s="1"/>
  <c r="S583" i="72" s="1"/>
  <c r="S608" i="72" s="1"/>
  <c r="S633" i="72"/>
  <c r="X229" i="72"/>
  <c r="S268" i="72"/>
  <c r="S293" i="72" s="1"/>
  <c r="S318" i="72" s="1"/>
  <c r="S343" i="72" s="1"/>
  <c r="S368" i="72" s="1"/>
  <c r="S393" i="72" s="1"/>
  <c r="S418" i="72" s="1"/>
  <c r="S443" i="72" s="1"/>
  <c r="S468" i="72" s="1"/>
  <c r="S493" i="72" s="1"/>
  <c r="S518" i="72" s="1"/>
  <c r="S543" i="72" s="1"/>
  <c r="S568" i="72" s="1"/>
  <c r="S593" i="72" s="1"/>
  <c r="S618" i="72" s="1"/>
  <c r="Q62" i="72"/>
  <c r="Q64" i="72"/>
  <c r="Q65" i="72"/>
  <c r="S642" i="72"/>
  <c r="S267" i="72"/>
  <c r="S292" i="72" s="1"/>
  <c r="S317" i="72" s="1"/>
  <c r="S342" i="72" s="1"/>
  <c r="S367" i="72" s="1"/>
  <c r="S392" i="72" s="1"/>
  <c r="S417" i="72" s="1"/>
  <c r="S442" i="72" s="1"/>
  <c r="S467" i="72" s="1"/>
  <c r="S492" i="72" s="1"/>
  <c r="S517" i="72" s="1"/>
  <c r="S542" i="72" s="1"/>
  <c r="S567" i="72" s="1"/>
  <c r="S592" i="72" s="1"/>
  <c r="S617" i="72" s="1"/>
  <c r="X154" i="72"/>
  <c r="X179" i="72"/>
  <c r="X129" i="72"/>
  <c r="S263" i="72"/>
  <c r="S288" i="72" s="1"/>
  <c r="S313" i="72" s="1"/>
  <c r="S338" i="72" s="1"/>
  <c r="S363" i="72" s="1"/>
  <c r="S388" i="72" s="1"/>
  <c r="S413" i="72" s="1"/>
  <c r="S438" i="72" s="1"/>
  <c r="S463" i="72" s="1"/>
  <c r="S488" i="72" s="1"/>
  <c r="S513" i="72" s="1"/>
  <c r="S538" i="72" s="1"/>
  <c r="S563" i="72" s="1"/>
  <c r="S588" i="72" s="1"/>
  <c r="S613" i="72" s="1"/>
  <c r="S638" i="72"/>
  <c r="X54" i="72"/>
  <c r="X29" i="72"/>
  <c r="Q60" i="72"/>
  <c r="Q63" i="72"/>
  <c r="Q58" i="72"/>
  <c r="X204" i="72"/>
  <c r="X104" i="72"/>
  <c r="X79" i="72"/>
  <c r="Q59" i="72"/>
  <c r="W263" i="72"/>
  <c r="W261" i="72"/>
  <c r="Y259" i="72"/>
  <c r="T261" i="72"/>
  <c r="U261" i="72"/>
  <c r="T264" i="72"/>
  <c r="U264" i="72"/>
  <c r="T268" i="72"/>
  <c r="U268" i="72"/>
  <c r="V260" i="72"/>
  <c r="W260" i="72"/>
  <c r="X260" i="72"/>
  <c r="Y260" i="72"/>
  <c r="T267" i="72"/>
  <c r="U267" i="72"/>
  <c r="V268" i="72"/>
  <c r="W268" i="72"/>
  <c r="T262" i="72"/>
  <c r="U262" i="72"/>
  <c r="V264" i="72"/>
  <c r="W264" i="72"/>
  <c r="T263" i="72"/>
  <c r="U263" i="72"/>
  <c r="T265" i="72"/>
  <c r="U265" i="72"/>
  <c r="T260" i="72"/>
  <c r="U260" i="72"/>
  <c r="X264" i="72"/>
  <c r="Y264" i="72"/>
  <c r="X268" i="72"/>
  <c r="Y268" i="72"/>
  <c r="V259" i="72"/>
  <c r="Z259" i="72" s="1"/>
  <c r="W259" i="72"/>
  <c r="X263" i="72"/>
  <c r="Y263" i="72"/>
  <c r="X267" i="72"/>
  <c r="Y267" i="72"/>
  <c r="X262" i="72"/>
  <c r="Y262" i="72"/>
  <c r="X266" i="72"/>
  <c r="Y266" i="72"/>
  <c r="E303" i="72"/>
  <c r="N303" i="72" s="1"/>
  <c r="X303" i="72" s="1"/>
  <c r="D302" i="72"/>
  <c r="M302" i="72" s="1"/>
  <c r="V302" i="72" s="1"/>
  <c r="C301" i="72"/>
  <c r="L301" i="72" s="1"/>
  <c r="T301" i="72" s="1"/>
  <c r="E299" i="72"/>
  <c r="N299" i="72" s="1"/>
  <c r="X299" i="72" s="1"/>
  <c r="D298" i="72"/>
  <c r="M298" i="72" s="1"/>
  <c r="V298" i="72" s="1"/>
  <c r="C297" i="72"/>
  <c r="L297" i="72" s="1"/>
  <c r="T297" i="72" s="1"/>
  <c r="E295" i="72"/>
  <c r="N295" i="72" s="1"/>
  <c r="D294" i="72"/>
  <c r="M294" i="72" s="1"/>
  <c r="V294" i="72" s="1"/>
  <c r="C293" i="72"/>
  <c r="L293" i="72" s="1"/>
  <c r="E291" i="72"/>
  <c r="N291" i="72" s="1"/>
  <c r="D290" i="72"/>
  <c r="C289" i="72"/>
  <c r="L289" i="72" s="1"/>
  <c r="E287" i="72"/>
  <c r="N287" i="72" s="1"/>
  <c r="D286" i="72"/>
  <c r="M286" i="72" s="1"/>
  <c r="V286" i="72" s="1"/>
  <c r="C285" i="72"/>
  <c r="L285" i="72" s="1"/>
  <c r="A306" i="72"/>
  <c r="D303" i="72"/>
  <c r="M303" i="72" s="1"/>
  <c r="V303" i="72" s="1"/>
  <c r="C302" i="72"/>
  <c r="L302" i="72" s="1"/>
  <c r="T302" i="72" s="1"/>
  <c r="E300" i="72"/>
  <c r="N300" i="72" s="1"/>
  <c r="X300" i="72" s="1"/>
  <c r="D299" i="72"/>
  <c r="M299" i="72" s="1"/>
  <c r="V299" i="72" s="1"/>
  <c r="C298" i="72"/>
  <c r="L298" i="72" s="1"/>
  <c r="T298" i="72" s="1"/>
  <c r="E296" i="72"/>
  <c r="N296" i="72" s="1"/>
  <c r="X296" i="72" s="1"/>
  <c r="D295" i="72"/>
  <c r="M295" i="72" s="1"/>
  <c r="V295" i="72" s="1"/>
  <c r="C294" i="72"/>
  <c r="L294" i="72" s="1"/>
  <c r="E292" i="72"/>
  <c r="N292" i="72" s="1"/>
  <c r="X292" i="72" s="1"/>
  <c r="D291" i="72"/>
  <c r="M291" i="72" s="1"/>
  <c r="V291" i="72" s="1"/>
  <c r="M290" i="72"/>
  <c r="V290" i="72" s="1"/>
  <c r="C290" i="72"/>
  <c r="L290" i="72" s="1"/>
  <c r="E288" i="72"/>
  <c r="N288" i="72" s="1"/>
  <c r="X288" i="72" s="1"/>
  <c r="D287" i="72"/>
  <c r="M287" i="72" s="1"/>
  <c r="V287" i="72" s="1"/>
  <c r="C286" i="72"/>
  <c r="L286" i="72" s="1"/>
  <c r="E284" i="72"/>
  <c r="N283" i="72"/>
  <c r="Y283" i="72" s="1"/>
  <c r="Y304" i="72" s="1"/>
  <c r="C303" i="72"/>
  <c r="L303" i="72" s="1"/>
  <c r="T303" i="72" s="1"/>
  <c r="E301" i="72"/>
  <c r="N301" i="72" s="1"/>
  <c r="X301" i="72" s="1"/>
  <c r="D300" i="72"/>
  <c r="M300" i="72" s="1"/>
  <c r="V300" i="72" s="1"/>
  <c r="C299" i="72"/>
  <c r="L299" i="72" s="1"/>
  <c r="T299" i="72" s="1"/>
  <c r="E297" i="72"/>
  <c r="N297" i="72" s="1"/>
  <c r="X297" i="72" s="1"/>
  <c r="D296" i="72"/>
  <c r="M296" i="72" s="1"/>
  <c r="V296" i="72" s="1"/>
  <c r="C295" i="72"/>
  <c r="L295" i="72" s="1"/>
  <c r="T295" i="72" s="1"/>
  <c r="E293" i="72"/>
  <c r="N293" i="72" s="1"/>
  <c r="D292" i="72"/>
  <c r="M292" i="72" s="1"/>
  <c r="V292" i="72" s="1"/>
  <c r="C291" i="72"/>
  <c r="L291" i="72" s="1"/>
  <c r="T291" i="72" s="1"/>
  <c r="E289" i="72"/>
  <c r="N289" i="72" s="1"/>
  <c r="D288" i="72"/>
  <c r="M288" i="72" s="1"/>
  <c r="V288" i="72" s="1"/>
  <c r="C287" i="72"/>
  <c r="L287" i="72" s="1"/>
  <c r="T287" i="72" s="1"/>
  <c r="E285" i="72"/>
  <c r="N285" i="72" s="1"/>
  <c r="N284" i="72"/>
  <c r="X284" i="72" s="1"/>
  <c r="D284" i="72"/>
  <c r="M284" i="72" s="1"/>
  <c r="V284" i="72" s="1"/>
  <c r="M283" i="72"/>
  <c r="W283" i="72" s="1"/>
  <c r="W304" i="72" s="1"/>
  <c r="E298" i="72"/>
  <c r="N298" i="72" s="1"/>
  <c r="X298" i="72" s="1"/>
  <c r="D293" i="72"/>
  <c r="M293" i="72" s="1"/>
  <c r="C288" i="72"/>
  <c r="L288" i="72" s="1"/>
  <c r="E302" i="72"/>
  <c r="N302" i="72" s="1"/>
  <c r="X302" i="72" s="1"/>
  <c r="D297" i="72"/>
  <c r="M297" i="72" s="1"/>
  <c r="V297" i="72" s="1"/>
  <c r="C292" i="72"/>
  <c r="L292" i="72" s="1"/>
  <c r="E286" i="72"/>
  <c r="N286" i="72" s="1"/>
  <c r="D301" i="72"/>
  <c r="M301" i="72" s="1"/>
  <c r="V301" i="72" s="1"/>
  <c r="C296" i="72"/>
  <c r="L296" i="72" s="1"/>
  <c r="T296" i="72" s="1"/>
  <c r="E290" i="72"/>
  <c r="N290" i="72" s="1"/>
  <c r="D285" i="72"/>
  <c r="M285" i="72" s="1"/>
  <c r="E294" i="72"/>
  <c r="N294" i="72" s="1"/>
  <c r="C284" i="72"/>
  <c r="D289" i="72"/>
  <c r="M289" i="72" s="1"/>
  <c r="V289" i="72" s="1"/>
  <c r="C300" i="72"/>
  <c r="L300" i="72" s="1"/>
  <c r="T300" i="72" s="1"/>
  <c r="L283" i="72"/>
  <c r="Q43" i="72"/>
  <c r="C279" i="72"/>
  <c r="AE23" i="72"/>
  <c r="AF22" i="72"/>
  <c r="AG22" i="72" s="1"/>
  <c r="U219" i="72"/>
  <c r="U169" i="72"/>
  <c r="U19" i="72"/>
  <c r="U44" i="72"/>
  <c r="U69" i="72"/>
  <c r="U269" i="72"/>
  <c r="U244" i="72"/>
  <c r="U144" i="72"/>
  <c r="U194" i="72"/>
  <c r="U94" i="72"/>
  <c r="U119" i="72"/>
  <c r="AI22" i="72"/>
  <c r="Q19" i="72" s="1"/>
  <c r="Y269" i="72"/>
  <c r="T229" i="72"/>
  <c r="U266" i="72"/>
  <c r="M279" i="72"/>
  <c r="M280" i="72" s="1"/>
  <c r="V258" i="72"/>
  <c r="N279" i="72"/>
  <c r="N280" i="72" s="1"/>
  <c r="X258" i="72"/>
  <c r="V267" i="72"/>
  <c r="W267" i="72"/>
  <c r="V234" i="72"/>
  <c r="W234" i="72"/>
  <c r="Y95" i="72"/>
  <c r="AU24" i="72"/>
  <c r="AV23" i="72"/>
  <c r="AW23" i="72" s="1"/>
  <c r="Y70" i="72"/>
  <c r="Y45" i="72"/>
  <c r="AY23" i="72"/>
  <c r="S20" i="72" s="1"/>
  <c r="S45" i="72" s="1"/>
  <c r="S70" i="72" s="1"/>
  <c r="S95" i="72" s="1"/>
  <c r="S120" i="72" s="1"/>
  <c r="S145" i="72" s="1"/>
  <c r="S170" i="72" s="1"/>
  <c r="S195" i="72" s="1"/>
  <c r="S220" i="72" s="1"/>
  <c r="S245" i="72" s="1"/>
  <c r="Y20" i="72"/>
  <c r="Y120" i="72"/>
  <c r="Y245" i="72"/>
  <c r="Y195" i="72"/>
  <c r="Y145" i="72"/>
  <c r="Y220" i="72"/>
  <c r="Y170" i="72"/>
  <c r="Y270" i="72"/>
  <c r="X254" i="72"/>
  <c r="Q67" i="72"/>
  <c r="U259" i="72"/>
  <c r="L279" i="72"/>
  <c r="L280" i="72" s="1"/>
  <c r="T258" i="72"/>
  <c r="Q91" i="72"/>
  <c r="T234" i="72"/>
  <c r="U234" i="72"/>
  <c r="W266" i="72"/>
  <c r="Y265" i="72"/>
  <c r="W262" i="72"/>
  <c r="Y261" i="72"/>
  <c r="D279" i="72"/>
  <c r="E279" i="72"/>
  <c r="S644" i="72"/>
  <c r="S269" i="72"/>
  <c r="S294" i="72" s="1"/>
  <c r="S319" i="72" s="1"/>
  <c r="S344" i="72" s="1"/>
  <c r="S369" i="72" s="1"/>
  <c r="S394" i="72" s="1"/>
  <c r="S419" i="72" s="1"/>
  <c r="S444" i="72" s="1"/>
  <c r="S469" i="72" s="1"/>
  <c r="S494" i="72" s="1"/>
  <c r="S519" i="72" s="1"/>
  <c r="S544" i="72" s="1"/>
  <c r="S569" i="72" s="1"/>
  <c r="S594" i="72" s="1"/>
  <c r="S619" i="72" s="1"/>
  <c r="AQ22" i="72"/>
  <c r="R19" i="72" s="1"/>
  <c r="R44" i="72" s="1"/>
  <c r="R69" i="72" s="1"/>
  <c r="R94" i="72" s="1"/>
  <c r="R119" i="72" s="1"/>
  <c r="R144" i="72" s="1"/>
  <c r="R169" i="72" s="1"/>
  <c r="R194" i="72" s="1"/>
  <c r="R219" i="72" s="1"/>
  <c r="R244" i="72" s="1"/>
  <c r="W94" i="72"/>
  <c r="AM23" i="72"/>
  <c r="AN22" i="72"/>
  <c r="AO22" i="72" s="1"/>
  <c r="W169" i="72"/>
  <c r="W144" i="72"/>
  <c r="W119" i="72"/>
  <c r="W19" i="72"/>
  <c r="W69" i="72"/>
  <c r="W44" i="72"/>
  <c r="W194" i="72"/>
  <c r="W219" i="72"/>
  <c r="W269" i="72"/>
  <c r="W244" i="72"/>
  <c r="W288" i="72" l="1"/>
  <c r="P18" i="72"/>
  <c r="Z266" i="72"/>
  <c r="O15" i="72"/>
  <c r="R259" i="72"/>
  <c r="R284" i="72" s="1"/>
  <c r="R309" i="72" s="1"/>
  <c r="R334" i="72" s="1"/>
  <c r="R359" i="72" s="1"/>
  <c r="R384" i="72" s="1"/>
  <c r="R409" i="72" s="1"/>
  <c r="R434" i="72" s="1"/>
  <c r="R459" i="72" s="1"/>
  <c r="R484" i="72" s="1"/>
  <c r="R509" i="72" s="1"/>
  <c r="R534" i="72" s="1"/>
  <c r="R559" i="72" s="1"/>
  <c r="R584" i="72" s="1"/>
  <c r="R609" i="72" s="1"/>
  <c r="O40" i="72"/>
  <c r="P10" i="72"/>
  <c r="P35" i="72"/>
  <c r="Z265" i="72"/>
  <c r="O10" i="72"/>
  <c r="R260" i="72"/>
  <c r="R285" i="72" s="1"/>
  <c r="R310" i="72" s="1"/>
  <c r="R335" i="72" s="1"/>
  <c r="R360" i="72" s="1"/>
  <c r="R385" i="72" s="1"/>
  <c r="R410" i="72" s="1"/>
  <c r="R435" i="72" s="1"/>
  <c r="R460" i="72" s="1"/>
  <c r="R485" i="72" s="1"/>
  <c r="R510" i="72" s="1"/>
  <c r="R535" i="72" s="1"/>
  <c r="R560" i="72" s="1"/>
  <c r="R585" i="72" s="1"/>
  <c r="R610" i="72" s="1"/>
  <c r="O35" i="72"/>
  <c r="Z261" i="72"/>
  <c r="P9" i="72"/>
  <c r="R268" i="72"/>
  <c r="R293" i="72" s="1"/>
  <c r="R318" i="72" s="1"/>
  <c r="R343" i="72" s="1"/>
  <c r="R368" i="72" s="1"/>
  <c r="R393" i="72" s="1"/>
  <c r="R418" i="72" s="1"/>
  <c r="R443" i="72" s="1"/>
  <c r="R468" i="72" s="1"/>
  <c r="R493" i="72" s="1"/>
  <c r="R518" i="72" s="1"/>
  <c r="R543" i="72" s="1"/>
  <c r="R568" i="72" s="1"/>
  <c r="R593" i="72" s="1"/>
  <c r="R618" i="72" s="1"/>
  <c r="P11" i="72"/>
  <c r="R636" i="72"/>
  <c r="O36" i="72"/>
  <c r="O18" i="72"/>
  <c r="O11" i="72"/>
  <c r="P36" i="72"/>
  <c r="AA183" i="72"/>
  <c r="AA204" i="72" s="1"/>
  <c r="AA208" i="72"/>
  <c r="AA229" i="72" s="1"/>
  <c r="O33" i="72"/>
  <c r="O38" i="72"/>
  <c r="P33" i="72"/>
  <c r="P15" i="72"/>
  <c r="R263" i="72"/>
  <c r="R288" i="72" s="1"/>
  <c r="R313" i="72" s="1"/>
  <c r="R338" i="72" s="1"/>
  <c r="R363" i="72" s="1"/>
  <c r="R388" i="72" s="1"/>
  <c r="R413" i="72" s="1"/>
  <c r="R438" i="72" s="1"/>
  <c r="R463" i="72" s="1"/>
  <c r="R488" i="72" s="1"/>
  <c r="R513" i="72" s="1"/>
  <c r="R538" i="72" s="1"/>
  <c r="R563" i="72" s="1"/>
  <c r="R588" i="72" s="1"/>
  <c r="R613" i="72" s="1"/>
  <c r="R265" i="72"/>
  <c r="R290" i="72" s="1"/>
  <c r="R315" i="72" s="1"/>
  <c r="R340" i="72" s="1"/>
  <c r="R365" i="72" s="1"/>
  <c r="R390" i="72" s="1"/>
  <c r="R415" i="72" s="1"/>
  <c r="R440" i="72" s="1"/>
  <c r="R465" i="72" s="1"/>
  <c r="R490" i="72" s="1"/>
  <c r="R515" i="72" s="1"/>
  <c r="R540" i="72" s="1"/>
  <c r="R565" i="72" s="1"/>
  <c r="R590" i="72" s="1"/>
  <c r="R615" i="72" s="1"/>
  <c r="R258" i="72"/>
  <c r="R283" i="72" s="1"/>
  <c r="R308" i="72" s="1"/>
  <c r="R333" i="72" s="1"/>
  <c r="R358" i="72" s="1"/>
  <c r="R383" i="72" s="1"/>
  <c r="R408" i="72" s="1"/>
  <c r="R433" i="72" s="1"/>
  <c r="R458" i="72" s="1"/>
  <c r="R483" i="72" s="1"/>
  <c r="R508" i="72" s="1"/>
  <c r="R533" i="72" s="1"/>
  <c r="R558" i="72" s="1"/>
  <c r="R583" i="72" s="1"/>
  <c r="R608" i="72" s="1"/>
  <c r="R637" i="72"/>
  <c r="AA236" i="72"/>
  <c r="P34" i="72"/>
  <c r="P37" i="72"/>
  <c r="P38" i="72"/>
  <c r="O8" i="72"/>
  <c r="O39" i="72"/>
  <c r="O37" i="72"/>
  <c r="P8" i="72"/>
  <c r="O13" i="72"/>
  <c r="P12" i="72"/>
  <c r="R639" i="72"/>
  <c r="P40" i="72"/>
  <c r="P13" i="72"/>
  <c r="O9" i="72"/>
  <c r="O12" i="72"/>
  <c r="AA8" i="72"/>
  <c r="AA29" i="72" s="1"/>
  <c r="O34" i="72"/>
  <c r="P39" i="72"/>
  <c r="P14" i="72"/>
  <c r="O14" i="72"/>
  <c r="AA133" i="72"/>
  <c r="AA154" i="72" s="1"/>
  <c r="AA58" i="72"/>
  <c r="AA79" i="72" s="1"/>
  <c r="AA33" i="72"/>
  <c r="AA54" i="72" s="1"/>
  <c r="V129" i="72"/>
  <c r="V154" i="72"/>
  <c r="V54" i="72"/>
  <c r="AA83" i="72"/>
  <c r="AA104" i="72" s="1"/>
  <c r="AA158" i="72"/>
  <c r="AA179" i="72" s="1"/>
  <c r="AA108" i="72"/>
  <c r="AA129" i="72" s="1"/>
  <c r="V204" i="72"/>
  <c r="O16" i="72"/>
  <c r="V79" i="72"/>
  <c r="AA233" i="72"/>
  <c r="AA254" i="72" s="1"/>
  <c r="Z134" i="72"/>
  <c r="Z35" i="72"/>
  <c r="Z54" i="72" s="1"/>
  <c r="D5" i="77" s="1"/>
  <c r="D10" i="77" s="1"/>
  <c r="D36" i="75" s="1"/>
  <c r="D42" i="75" s="1"/>
  <c r="V104" i="72"/>
  <c r="V29" i="72"/>
  <c r="R41" i="72"/>
  <c r="P41" i="72" s="1"/>
  <c r="V229" i="72"/>
  <c r="V179" i="72"/>
  <c r="Z185" i="72"/>
  <c r="Z204" i="72" s="1"/>
  <c r="J5" i="77" s="1"/>
  <c r="J10" i="77" s="1"/>
  <c r="J36" i="75" s="1"/>
  <c r="Z58" i="72"/>
  <c r="Z79" i="72" s="1"/>
  <c r="E5" i="77" s="1"/>
  <c r="E10" i="77" s="1"/>
  <c r="E36" i="75" s="1"/>
  <c r="E37" i="75" s="1"/>
  <c r="R42" i="72"/>
  <c r="P17" i="72"/>
  <c r="V254" i="72"/>
  <c r="AA258" i="72"/>
  <c r="AA279" i="72" s="1"/>
  <c r="W290" i="72"/>
  <c r="Z29" i="72"/>
  <c r="C5" i="77" s="1"/>
  <c r="Z179" i="72"/>
  <c r="I5" i="77" s="1"/>
  <c r="I10" i="77" s="1"/>
  <c r="I36" i="75" s="1"/>
  <c r="I42" i="75" s="1"/>
  <c r="Z154" i="72"/>
  <c r="H5" i="77" s="1"/>
  <c r="H10" i="77" s="1"/>
  <c r="H36" i="75" s="1"/>
  <c r="H37" i="75" s="1"/>
  <c r="Z229" i="72"/>
  <c r="K5" i="77" s="1"/>
  <c r="K10" i="77" s="1"/>
  <c r="K36" i="75" s="1"/>
  <c r="K42" i="75" s="1"/>
  <c r="Z129" i="72"/>
  <c r="G5" i="77" s="1"/>
  <c r="G10" i="77" s="1"/>
  <c r="G36" i="75" s="1"/>
  <c r="G37" i="75" s="1"/>
  <c r="Z104" i="72"/>
  <c r="F5" i="77" s="1"/>
  <c r="F10" i="77" s="1"/>
  <c r="F36" i="75" s="1"/>
  <c r="F37" i="75" s="1"/>
  <c r="R66" i="72"/>
  <c r="P65" i="72"/>
  <c r="Q90" i="72"/>
  <c r="O65" i="72"/>
  <c r="P62" i="72"/>
  <c r="Q87" i="72"/>
  <c r="O62" i="72"/>
  <c r="O63" i="72"/>
  <c r="P63" i="72"/>
  <c r="Q88" i="72"/>
  <c r="Q83" i="72"/>
  <c r="P58" i="72"/>
  <c r="O58" i="72"/>
  <c r="Q85" i="72"/>
  <c r="O60" i="72"/>
  <c r="P60" i="72"/>
  <c r="O61" i="72"/>
  <c r="Q86" i="72"/>
  <c r="P61" i="72"/>
  <c r="Q89" i="72"/>
  <c r="P64" i="72"/>
  <c r="O64" i="72"/>
  <c r="Q84" i="72"/>
  <c r="O59" i="72"/>
  <c r="P59" i="72"/>
  <c r="W287" i="72"/>
  <c r="W291" i="72"/>
  <c r="W286" i="72"/>
  <c r="U291" i="72"/>
  <c r="Z234" i="72"/>
  <c r="Z254" i="72" s="1"/>
  <c r="L5" i="77" s="1"/>
  <c r="L10" i="77" s="1"/>
  <c r="C304" i="72"/>
  <c r="X279" i="72"/>
  <c r="W294" i="72"/>
  <c r="AA260" i="72"/>
  <c r="E280" i="72"/>
  <c r="Z296" i="72"/>
  <c r="Z300" i="72"/>
  <c r="E304" i="72"/>
  <c r="Z260" i="72"/>
  <c r="Z267" i="72"/>
  <c r="Z264" i="72"/>
  <c r="Z301" i="72"/>
  <c r="AA263" i="72"/>
  <c r="AA259" i="72"/>
  <c r="AA244" i="72"/>
  <c r="AA19" i="72"/>
  <c r="AA44" i="72"/>
  <c r="AA266" i="72"/>
  <c r="AA262" i="72"/>
  <c r="AA267" i="72"/>
  <c r="AA264" i="72"/>
  <c r="T292" i="72"/>
  <c r="Z292" i="72" s="1"/>
  <c r="U292" i="72"/>
  <c r="X294" i="72"/>
  <c r="Y294" i="72"/>
  <c r="X285" i="72"/>
  <c r="Y285" i="72"/>
  <c r="Z297" i="72"/>
  <c r="X286" i="72"/>
  <c r="Y286" i="72"/>
  <c r="X289" i="72"/>
  <c r="Y289" i="72"/>
  <c r="T286" i="72"/>
  <c r="Z286" i="72" s="1"/>
  <c r="U286" i="72"/>
  <c r="T290" i="72"/>
  <c r="U290" i="72"/>
  <c r="T294" i="72"/>
  <c r="U294" i="72"/>
  <c r="Z298" i="72"/>
  <c r="Z302" i="72"/>
  <c r="T289" i="72"/>
  <c r="U289" i="72"/>
  <c r="T293" i="72"/>
  <c r="U293" i="72"/>
  <c r="V285" i="72"/>
  <c r="W285" i="72"/>
  <c r="X295" i="72"/>
  <c r="Z295" i="72" s="1"/>
  <c r="Y295" i="72"/>
  <c r="X290" i="72"/>
  <c r="Y290" i="72"/>
  <c r="T288" i="72"/>
  <c r="Z288" i="72" s="1"/>
  <c r="U288" i="72"/>
  <c r="X287" i="72"/>
  <c r="Z287" i="72" s="1"/>
  <c r="Y287" i="72"/>
  <c r="X291" i="72"/>
  <c r="Z291" i="72" s="1"/>
  <c r="Y291" i="72"/>
  <c r="V293" i="72"/>
  <c r="W293" i="72"/>
  <c r="X293" i="72"/>
  <c r="Y293" i="72"/>
  <c r="T285" i="72"/>
  <c r="U285" i="72"/>
  <c r="AM24" i="72"/>
  <c r="AN23" i="72"/>
  <c r="AO23" i="72" s="1"/>
  <c r="W120" i="72"/>
  <c r="W20" i="72"/>
  <c r="W295" i="72"/>
  <c r="AQ23" i="72"/>
  <c r="R20" i="72" s="1"/>
  <c r="R45" i="72" s="1"/>
  <c r="R70" i="72" s="1"/>
  <c r="R95" i="72" s="1"/>
  <c r="R120" i="72" s="1"/>
  <c r="R145" i="72" s="1"/>
  <c r="R170" i="72" s="1"/>
  <c r="R195" i="72" s="1"/>
  <c r="R220" i="72" s="1"/>
  <c r="R245" i="72" s="1"/>
  <c r="W45" i="72"/>
  <c r="W70" i="72"/>
  <c r="W270" i="72"/>
  <c r="W220" i="72"/>
  <c r="W170" i="72"/>
  <c r="W95" i="72"/>
  <c r="W195" i="72"/>
  <c r="W245" i="72"/>
  <c r="W145" i="72"/>
  <c r="S645" i="72"/>
  <c r="S270" i="72"/>
  <c r="S295" i="72" s="1"/>
  <c r="S320" i="72" s="1"/>
  <c r="S345" i="72" s="1"/>
  <c r="S370" i="72" s="1"/>
  <c r="S395" i="72" s="1"/>
  <c r="S420" i="72" s="1"/>
  <c r="S445" i="72" s="1"/>
  <c r="S470" i="72" s="1"/>
  <c r="S495" i="72" s="1"/>
  <c r="S520" i="72" s="1"/>
  <c r="S545" i="72" s="1"/>
  <c r="S570" i="72" s="1"/>
  <c r="S595" i="72" s="1"/>
  <c r="S620" i="72" s="1"/>
  <c r="AV24" i="72"/>
  <c r="AW24" i="72" s="1"/>
  <c r="Y221" i="72"/>
  <c r="Y121" i="72"/>
  <c r="Y246" i="72"/>
  <c r="Y196" i="72"/>
  <c r="Y96" i="72"/>
  <c r="Y71" i="72"/>
  <c r="Y21" i="72"/>
  <c r="Y46" i="72"/>
  <c r="AU25" i="72"/>
  <c r="Y296" i="72"/>
  <c r="Y146" i="72"/>
  <c r="Y171" i="72"/>
  <c r="Y271" i="72"/>
  <c r="AY24" i="72"/>
  <c r="S21" i="72" s="1"/>
  <c r="S46" i="72" s="1"/>
  <c r="S71" i="72" s="1"/>
  <c r="S96" i="72" s="1"/>
  <c r="S121" i="72" s="1"/>
  <c r="S146" i="72" s="1"/>
  <c r="S171" i="72" s="1"/>
  <c r="S196" i="72" s="1"/>
  <c r="S221" i="72" s="1"/>
  <c r="S246" i="72" s="1"/>
  <c r="AA119" i="72"/>
  <c r="Z299" i="72"/>
  <c r="E328" i="72"/>
  <c r="N328" i="72" s="1"/>
  <c r="X328" i="72" s="1"/>
  <c r="D327" i="72"/>
  <c r="M327" i="72" s="1"/>
  <c r="V327" i="72" s="1"/>
  <c r="C326" i="72"/>
  <c r="L326" i="72" s="1"/>
  <c r="T326" i="72" s="1"/>
  <c r="E324" i="72"/>
  <c r="N324" i="72" s="1"/>
  <c r="X324" i="72" s="1"/>
  <c r="D323" i="72"/>
  <c r="M323" i="72" s="1"/>
  <c r="V323" i="72" s="1"/>
  <c r="C322" i="72"/>
  <c r="L322" i="72" s="1"/>
  <c r="T322" i="72" s="1"/>
  <c r="E320" i="72"/>
  <c r="N320" i="72" s="1"/>
  <c r="D319" i="72"/>
  <c r="M319" i="72" s="1"/>
  <c r="C318" i="72"/>
  <c r="L318" i="72" s="1"/>
  <c r="E316" i="72"/>
  <c r="N316" i="72" s="1"/>
  <c r="X316" i="72" s="1"/>
  <c r="D315" i="72"/>
  <c r="M315" i="72" s="1"/>
  <c r="C314" i="72"/>
  <c r="L314" i="72" s="1"/>
  <c r="E312" i="72"/>
  <c r="N312" i="72" s="1"/>
  <c r="X312" i="72" s="1"/>
  <c r="D311" i="72"/>
  <c r="M311" i="72" s="1"/>
  <c r="A331" i="72"/>
  <c r="D328" i="72"/>
  <c r="M328" i="72" s="1"/>
  <c r="V328" i="72" s="1"/>
  <c r="C327" i="72"/>
  <c r="L327" i="72" s="1"/>
  <c r="T327" i="72" s="1"/>
  <c r="E325" i="72"/>
  <c r="N325" i="72" s="1"/>
  <c r="X325" i="72" s="1"/>
  <c r="D324" i="72"/>
  <c r="M324" i="72" s="1"/>
  <c r="V324" i="72" s="1"/>
  <c r="C323" i="72"/>
  <c r="L323" i="72" s="1"/>
  <c r="T323" i="72" s="1"/>
  <c r="E321" i="72"/>
  <c r="N321" i="72" s="1"/>
  <c r="X321" i="72" s="1"/>
  <c r="D320" i="72"/>
  <c r="M320" i="72" s="1"/>
  <c r="V320" i="72" s="1"/>
  <c r="C319" i="72"/>
  <c r="L319" i="72" s="1"/>
  <c r="T319" i="72" s="1"/>
  <c r="E317" i="72"/>
  <c r="N317" i="72" s="1"/>
  <c r="X317" i="72" s="1"/>
  <c r="D316" i="72"/>
  <c r="M316" i="72" s="1"/>
  <c r="V316" i="72" s="1"/>
  <c r="C315" i="72"/>
  <c r="L315" i="72" s="1"/>
  <c r="T315" i="72" s="1"/>
  <c r="E313" i="72"/>
  <c r="N313" i="72" s="1"/>
  <c r="X313" i="72" s="1"/>
  <c r="D312" i="72"/>
  <c r="M312" i="72" s="1"/>
  <c r="V312" i="72" s="1"/>
  <c r="C311" i="72"/>
  <c r="L311" i="72" s="1"/>
  <c r="T311" i="72" s="1"/>
  <c r="E309" i="72"/>
  <c r="N309" i="72" s="1"/>
  <c r="X309" i="72" s="1"/>
  <c r="N308" i="72"/>
  <c r="Y308" i="72" s="1"/>
  <c r="Y329" i="72" s="1"/>
  <c r="C328" i="72"/>
  <c r="L328" i="72" s="1"/>
  <c r="T328" i="72" s="1"/>
  <c r="E326" i="72"/>
  <c r="N326" i="72" s="1"/>
  <c r="X326" i="72" s="1"/>
  <c r="D325" i="72"/>
  <c r="M325" i="72" s="1"/>
  <c r="V325" i="72" s="1"/>
  <c r="C324" i="72"/>
  <c r="L324" i="72" s="1"/>
  <c r="T324" i="72" s="1"/>
  <c r="E322" i="72"/>
  <c r="N322" i="72" s="1"/>
  <c r="X322" i="72" s="1"/>
  <c r="D321" i="72"/>
  <c r="M321" i="72" s="1"/>
  <c r="V321" i="72" s="1"/>
  <c r="C320" i="72"/>
  <c r="L320" i="72" s="1"/>
  <c r="E318" i="72"/>
  <c r="N318" i="72" s="1"/>
  <c r="X318" i="72" s="1"/>
  <c r="D317" i="72"/>
  <c r="M317" i="72" s="1"/>
  <c r="C316" i="72"/>
  <c r="L316" i="72" s="1"/>
  <c r="T316" i="72" s="1"/>
  <c r="E314" i="72"/>
  <c r="N314" i="72" s="1"/>
  <c r="X314" i="72" s="1"/>
  <c r="D313" i="72"/>
  <c r="M313" i="72" s="1"/>
  <c r="C312" i="72"/>
  <c r="L312" i="72" s="1"/>
  <c r="T312" i="72" s="1"/>
  <c r="E310" i="72"/>
  <c r="N310" i="72" s="1"/>
  <c r="X310" i="72" s="1"/>
  <c r="D309" i="72"/>
  <c r="M308" i="72"/>
  <c r="W308" i="72" s="1"/>
  <c r="W329" i="72" s="1"/>
  <c r="E323" i="72"/>
  <c r="N323" i="72" s="1"/>
  <c r="X323" i="72" s="1"/>
  <c r="D318" i="72"/>
  <c r="M318" i="72" s="1"/>
  <c r="C313" i="72"/>
  <c r="L313" i="72" s="1"/>
  <c r="E327" i="72"/>
  <c r="N327" i="72" s="1"/>
  <c r="X327" i="72" s="1"/>
  <c r="D322" i="72"/>
  <c r="M322" i="72" s="1"/>
  <c r="V322" i="72" s="1"/>
  <c r="C317" i="72"/>
  <c r="L317" i="72" s="1"/>
  <c r="E311" i="72"/>
  <c r="N311" i="72" s="1"/>
  <c r="D326" i="72"/>
  <c r="M326" i="72" s="1"/>
  <c r="V326" i="72" s="1"/>
  <c r="C321" i="72"/>
  <c r="L321" i="72" s="1"/>
  <c r="T321" i="72" s="1"/>
  <c r="E315" i="72"/>
  <c r="N315" i="72" s="1"/>
  <c r="D310" i="72"/>
  <c r="M310" i="72" s="1"/>
  <c r="E319" i="72"/>
  <c r="N319" i="72" s="1"/>
  <c r="X319" i="72" s="1"/>
  <c r="C309" i="72"/>
  <c r="C325" i="72"/>
  <c r="L325" i="72" s="1"/>
  <c r="T325" i="72" s="1"/>
  <c r="L308" i="72"/>
  <c r="D314" i="72"/>
  <c r="M314" i="72" s="1"/>
  <c r="AA94" i="72"/>
  <c r="AA269" i="72"/>
  <c r="T254" i="72"/>
  <c r="W292" i="72"/>
  <c r="Z263" i="72"/>
  <c r="Z262" i="72"/>
  <c r="R644" i="72"/>
  <c r="R269" i="72"/>
  <c r="R294" i="72" s="1"/>
  <c r="R319" i="72" s="1"/>
  <c r="R344" i="72" s="1"/>
  <c r="R369" i="72" s="1"/>
  <c r="R394" i="72" s="1"/>
  <c r="R419" i="72" s="1"/>
  <c r="R444" i="72" s="1"/>
  <c r="R469" i="72" s="1"/>
  <c r="R494" i="72" s="1"/>
  <c r="R519" i="72" s="1"/>
  <c r="R544" i="72" s="1"/>
  <c r="R569" i="72" s="1"/>
  <c r="R594" i="72" s="1"/>
  <c r="R619" i="72" s="1"/>
  <c r="Q116" i="72"/>
  <c r="V279" i="72"/>
  <c r="AA194" i="72"/>
  <c r="AA169" i="72"/>
  <c r="AA219" i="72"/>
  <c r="Y292" i="72"/>
  <c r="U287" i="72"/>
  <c r="W284" i="72"/>
  <c r="M304" i="72"/>
  <c r="M305" i="72" s="1"/>
  <c r="V283" i="72"/>
  <c r="L284" i="72"/>
  <c r="AA265" i="72"/>
  <c r="AA268" i="72"/>
  <c r="AA261" i="72"/>
  <c r="Y288" i="72"/>
  <c r="T283" i="72"/>
  <c r="Z303" i="72"/>
  <c r="AA234" i="72"/>
  <c r="T279" i="72"/>
  <c r="Z258" i="72"/>
  <c r="Q92" i="72"/>
  <c r="Q44" i="72"/>
  <c r="P19" i="72"/>
  <c r="O19" i="72"/>
  <c r="AA144" i="72"/>
  <c r="AA69" i="72"/>
  <c r="U120" i="72"/>
  <c r="AE24" i="72"/>
  <c r="AF23" i="72"/>
  <c r="AG23" i="72" s="1"/>
  <c r="AI23" i="72"/>
  <c r="Q20" i="72" s="1"/>
  <c r="U70" i="72"/>
  <c r="U270" i="72"/>
  <c r="U220" i="72"/>
  <c r="U295" i="72"/>
  <c r="U245" i="72"/>
  <c r="U195" i="72"/>
  <c r="U145" i="72"/>
  <c r="U95" i="72"/>
  <c r="U45" i="72"/>
  <c r="U20" i="72"/>
  <c r="U170" i="72"/>
  <c r="Q68" i="72"/>
  <c r="O43" i="72"/>
  <c r="P43" i="72"/>
  <c r="W289" i="72"/>
  <c r="Y284" i="72"/>
  <c r="U283" i="72"/>
  <c r="D304" i="72"/>
  <c r="N304" i="72"/>
  <c r="N305" i="72" s="1"/>
  <c r="X283" i="72"/>
  <c r="Z268" i="72"/>
  <c r="O41" i="72" l="1"/>
  <c r="R67" i="72"/>
  <c r="O42" i="72"/>
  <c r="P42" i="72"/>
  <c r="Y318" i="72"/>
  <c r="C10" i="77"/>
  <c r="C36" i="75" s="1"/>
  <c r="U308" i="72"/>
  <c r="U329" i="72" s="1"/>
  <c r="W312" i="72"/>
  <c r="I37" i="75"/>
  <c r="D37" i="75"/>
  <c r="K37" i="75"/>
  <c r="H42" i="75"/>
  <c r="E42" i="75"/>
  <c r="G42" i="75"/>
  <c r="F42" i="75"/>
  <c r="P89" i="72"/>
  <c r="Q114" i="72"/>
  <c r="O89" i="72"/>
  <c r="J37" i="75"/>
  <c r="J42" i="75"/>
  <c r="Q115" i="72"/>
  <c r="P90" i="72"/>
  <c r="O90" i="72"/>
  <c r="R91" i="72"/>
  <c r="P66" i="72"/>
  <c r="O66" i="72"/>
  <c r="Q109" i="72"/>
  <c r="P84" i="72"/>
  <c r="O84" i="72"/>
  <c r="O85" i="72"/>
  <c r="Q110" i="72"/>
  <c r="P85" i="72"/>
  <c r="P88" i="72"/>
  <c r="Q113" i="72"/>
  <c r="O88" i="72"/>
  <c r="P87" i="72"/>
  <c r="Q112" i="72"/>
  <c r="O87" i="72"/>
  <c r="Q111" i="72"/>
  <c r="P86" i="72"/>
  <c r="O86" i="72"/>
  <c r="Q108" i="72"/>
  <c r="P83" i="72"/>
  <c r="O83" i="72"/>
  <c r="AA286" i="72"/>
  <c r="Y309" i="72"/>
  <c r="AA291" i="72"/>
  <c r="U316" i="72"/>
  <c r="U312" i="72"/>
  <c r="U315" i="72"/>
  <c r="Y319" i="72"/>
  <c r="Y313" i="72"/>
  <c r="W316" i="72"/>
  <c r="Y310" i="72"/>
  <c r="Z294" i="72"/>
  <c r="Z325" i="72"/>
  <c r="AA20" i="72"/>
  <c r="AA70" i="72"/>
  <c r="AA120" i="72"/>
  <c r="Z289" i="72"/>
  <c r="T320" i="72"/>
  <c r="U320" i="72"/>
  <c r="Y321" i="72"/>
  <c r="D329" i="72"/>
  <c r="W320" i="72"/>
  <c r="AA195" i="72"/>
  <c r="AA270" i="72"/>
  <c r="AA287" i="72"/>
  <c r="AA220" i="72"/>
  <c r="AA45" i="72"/>
  <c r="AA285" i="72"/>
  <c r="AA288" i="72"/>
  <c r="AA290" i="72"/>
  <c r="X311" i="72"/>
  <c r="Y311" i="72"/>
  <c r="Z321" i="72"/>
  <c r="V317" i="72"/>
  <c r="W317" i="72"/>
  <c r="V315" i="72"/>
  <c r="W315" i="72"/>
  <c r="V318" i="72"/>
  <c r="W318" i="72"/>
  <c r="T314" i="72"/>
  <c r="U314" i="72"/>
  <c r="V319" i="72"/>
  <c r="Z319" i="72" s="1"/>
  <c r="W319" i="72"/>
  <c r="V314" i="72"/>
  <c r="W314" i="72"/>
  <c r="V310" i="72"/>
  <c r="W310" i="72"/>
  <c r="T317" i="72"/>
  <c r="U317" i="72"/>
  <c r="V311" i="72"/>
  <c r="W311" i="72"/>
  <c r="Z326" i="72"/>
  <c r="X315" i="72"/>
  <c r="Y315" i="72"/>
  <c r="T313" i="72"/>
  <c r="U313" i="72"/>
  <c r="V313" i="72"/>
  <c r="W313" i="72"/>
  <c r="T318" i="72"/>
  <c r="U318" i="72"/>
  <c r="Z322" i="72"/>
  <c r="Q69" i="72"/>
  <c r="O44" i="72"/>
  <c r="P44" i="72"/>
  <c r="Z279" i="72"/>
  <c r="M5" i="77" s="1"/>
  <c r="M10" i="77" s="1"/>
  <c r="M36" i="75" s="1"/>
  <c r="T284" i="72"/>
  <c r="Z284" i="72" s="1"/>
  <c r="U284" i="72"/>
  <c r="AA284" i="72" s="1"/>
  <c r="Q141" i="72"/>
  <c r="T308" i="72"/>
  <c r="Z323" i="72"/>
  <c r="L36" i="75"/>
  <c r="R645" i="72"/>
  <c r="R270" i="72"/>
  <c r="R295" i="72" s="1"/>
  <c r="R320" i="72" s="1"/>
  <c r="R345" i="72" s="1"/>
  <c r="R370" i="72" s="1"/>
  <c r="R395" i="72" s="1"/>
  <c r="R420" i="72" s="1"/>
  <c r="R445" i="72" s="1"/>
  <c r="R470" i="72" s="1"/>
  <c r="R495" i="72" s="1"/>
  <c r="R520" i="72" s="1"/>
  <c r="R545" i="72" s="1"/>
  <c r="R570" i="72" s="1"/>
  <c r="R595" i="72" s="1"/>
  <c r="R620" i="72" s="1"/>
  <c r="AM25" i="72"/>
  <c r="AN24" i="72"/>
  <c r="AO24" i="72" s="1"/>
  <c r="W321" i="72"/>
  <c r="W246" i="72"/>
  <c r="W146" i="72"/>
  <c r="W46" i="72"/>
  <c r="W71" i="72"/>
  <c r="W271" i="72"/>
  <c r="W196" i="72"/>
  <c r="W296" i="72"/>
  <c r="W221" i="72"/>
  <c r="W121" i="72"/>
  <c r="W21" i="72"/>
  <c r="W96" i="72"/>
  <c r="AQ24" i="72"/>
  <c r="R21" i="72" s="1"/>
  <c r="R46" i="72" s="1"/>
  <c r="R71" i="72" s="1"/>
  <c r="R96" i="72" s="1"/>
  <c r="R121" i="72" s="1"/>
  <c r="R146" i="72" s="1"/>
  <c r="R171" i="72" s="1"/>
  <c r="R196" i="72" s="1"/>
  <c r="R221" i="72" s="1"/>
  <c r="R246" i="72" s="1"/>
  <c r="W171" i="72"/>
  <c r="AA245" i="72"/>
  <c r="V304" i="72"/>
  <c r="U319" i="72"/>
  <c r="U311" i="72"/>
  <c r="M309" i="72"/>
  <c r="M329" i="72" s="1"/>
  <c r="M330" i="72" s="1"/>
  <c r="C310" i="72"/>
  <c r="L310" i="72" s="1"/>
  <c r="Y22" i="72"/>
  <c r="AU26" i="72"/>
  <c r="AV25" i="72"/>
  <c r="AW25" i="72" s="1"/>
  <c r="AY25" i="72"/>
  <c r="S22" i="72" s="1"/>
  <c r="S47" i="72" s="1"/>
  <c r="S72" i="72" s="1"/>
  <c r="S97" i="72" s="1"/>
  <c r="S122" i="72" s="1"/>
  <c r="S147" i="72" s="1"/>
  <c r="S172" i="72" s="1"/>
  <c r="S197" i="72" s="1"/>
  <c r="S222" i="72" s="1"/>
  <c r="S247" i="72" s="1"/>
  <c r="Y297" i="72"/>
  <c r="Y247" i="72"/>
  <c r="Y147" i="72"/>
  <c r="Y197" i="72"/>
  <c r="Y47" i="72"/>
  <c r="Y72" i="72"/>
  <c r="Y272" i="72"/>
  <c r="Y222" i="72"/>
  <c r="Y322" i="72"/>
  <c r="Y122" i="72"/>
  <c r="Y172" i="72"/>
  <c r="Y97" i="72"/>
  <c r="AA293" i="72"/>
  <c r="Q93" i="72"/>
  <c r="O68" i="72"/>
  <c r="P68" i="72"/>
  <c r="AA95" i="72"/>
  <c r="AA295" i="72"/>
  <c r="P20" i="72"/>
  <c r="Q45" i="72"/>
  <c r="O20" i="72"/>
  <c r="U246" i="72"/>
  <c r="U221" i="72"/>
  <c r="U96" i="72"/>
  <c r="AF24" i="72"/>
  <c r="AG24" i="72" s="1"/>
  <c r="U71" i="72"/>
  <c r="U46" i="72"/>
  <c r="AE25" i="72"/>
  <c r="AI24" i="72"/>
  <c r="Q21" i="72" s="1"/>
  <c r="U21" i="72"/>
  <c r="U296" i="72"/>
  <c r="U146" i="72"/>
  <c r="U171" i="72"/>
  <c r="U196" i="72"/>
  <c r="U121" i="72"/>
  <c r="U321" i="72"/>
  <c r="U271" i="72"/>
  <c r="L304" i="72"/>
  <c r="L305" i="72" s="1"/>
  <c r="E305" i="72" s="1"/>
  <c r="Y316" i="72"/>
  <c r="Y314" i="72"/>
  <c r="Y312" i="72"/>
  <c r="Z316" i="72"/>
  <c r="Z312" i="72"/>
  <c r="Z328" i="72"/>
  <c r="S646" i="72"/>
  <c r="S271" i="72"/>
  <c r="S296" i="72" s="1"/>
  <c r="S321" i="72" s="1"/>
  <c r="S346" i="72" s="1"/>
  <c r="S371" i="72" s="1"/>
  <c r="S396" i="72" s="1"/>
  <c r="S421" i="72" s="1"/>
  <c r="S446" i="72" s="1"/>
  <c r="S471" i="72" s="1"/>
  <c r="S496" i="72" s="1"/>
  <c r="S521" i="72" s="1"/>
  <c r="S546" i="72" s="1"/>
  <c r="S571" i="72" s="1"/>
  <c r="S596" i="72" s="1"/>
  <c r="S621" i="72" s="1"/>
  <c r="Z285" i="72"/>
  <c r="Z293" i="72"/>
  <c r="Z290" i="72"/>
  <c r="AA292" i="72"/>
  <c r="Z327" i="72"/>
  <c r="N329" i="72"/>
  <c r="N330" i="72" s="1"/>
  <c r="X308" i="72"/>
  <c r="X320" i="72"/>
  <c r="Y320" i="72"/>
  <c r="Z283" i="72"/>
  <c r="E329" i="72"/>
  <c r="E353" i="72"/>
  <c r="N353" i="72" s="1"/>
  <c r="X353" i="72" s="1"/>
  <c r="D352" i="72"/>
  <c r="M352" i="72" s="1"/>
  <c r="V352" i="72" s="1"/>
  <c r="C351" i="72"/>
  <c r="L351" i="72" s="1"/>
  <c r="T351" i="72" s="1"/>
  <c r="E349" i="72"/>
  <c r="N349" i="72" s="1"/>
  <c r="X349" i="72" s="1"/>
  <c r="D348" i="72"/>
  <c r="M348" i="72" s="1"/>
  <c r="V348" i="72" s="1"/>
  <c r="C347" i="72"/>
  <c r="L347" i="72" s="1"/>
  <c r="T347" i="72" s="1"/>
  <c r="E345" i="72"/>
  <c r="N345" i="72" s="1"/>
  <c r="X345" i="72" s="1"/>
  <c r="D344" i="72"/>
  <c r="M344" i="72" s="1"/>
  <c r="C343" i="72"/>
  <c r="L343" i="72" s="1"/>
  <c r="T343" i="72" s="1"/>
  <c r="E341" i="72"/>
  <c r="N341" i="72" s="1"/>
  <c r="X341" i="72" s="1"/>
  <c r="D340" i="72"/>
  <c r="M340" i="72" s="1"/>
  <c r="C339" i="72"/>
  <c r="L339" i="72" s="1"/>
  <c r="T339" i="72" s="1"/>
  <c r="E337" i="72"/>
  <c r="N337" i="72" s="1"/>
  <c r="X337" i="72" s="1"/>
  <c r="D336" i="72"/>
  <c r="M336" i="72" s="1"/>
  <c r="A356" i="72"/>
  <c r="D353" i="72"/>
  <c r="M353" i="72" s="1"/>
  <c r="V353" i="72" s="1"/>
  <c r="C352" i="72"/>
  <c r="L352" i="72" s="1"/>
  <c r="T352" i="72" s="1"/>
  <c r="E350" i="72"/>
  <c r="N350" i="72" s="1"/>
  <c r="X350" i="72" s="1"/>
  <c r="D349" i="72"/>
  <c r="M349" i="72" s="1"/>
  <c r="V349" i="72" s="1"/>
  <c r="C348" i="72"/>
  <c r="L348" i="72" s="1"/>
  <c r="T348" i="72" s="1"/>
  <c r="E346" i="72"/>
  <c r="N346" i="72" s="1"/>
  <c r="X346" i="72" s="1"/>
  <c r="D345" i="72"/>
  <c r="M345" i="72" s="1"/>
  <c r="V345" i="72" s="1"/>
  <c r="C344" i="72"/>
  <c r="L344" i="72" s="1"/>
  <c r="T344" i="72" s="1"/>
  <c r="E342" i="72"/>
  <c r="N342" i="72" s="1"/>
  <c r="X342" i="72" s="1"/>
  <c r="D341" i="72"/>
  <c r="M341" i="72" s="1"/>
  <c r="V341" i="72" s="1"/>
  <c r="C340" i="72"/>
  <c r="L340" i="72" s="1"/>
  <c r="T340" i="72" s="1"/>
  <c r="E338" i="72"/>
  <c r="N338" i="72" s="1"/>
  <c r="X338" i="72" s="1"/>
  <c r="D337" i="72"/>
  <c r="M337" i="72" s="1"/>
  <c r="V337" i="72" s="1"/>
  <c r="C336" i="72"/>
  <c r="E334" i="72"/>
  <c r="N334" i="72" s="1"/>
  <c r="X334" i="72" s="1"/>
  <c r="N333" i="72"/>
  <c r="Y333" i="72" s="1"/>
  <c r="Y354" i="72" s="1"/>
  <c r="C353" i="72"/>
  <c r="L353" i="72" s="1"/>
  <c r="T353" i="72" s="1"/>
  <c r="E351" i="72"/>
  <c r="N351" i="72" s="1"/>
  <c r="X351" i="72" s="1"/>
  <c r="D350" i="72"/>
  <c r="M350" i="72" s="1"/>
  <c r="V350" i="72" s="1"/>
  <c r="C349" i="72"/>
  <c r="L349" i="72" s="1"/>
  <c r="T349" i="72" s="1"/>
  <c r="E347" i="72"/>
  <c r="N347" i="72" s="1"/>
  <c r="X347" i="72" s="1"/>
  <c r="D346" i="72"/>
  <c r="M346" i="72" s="1"/>
  <c r="C345" i="72"/>
  <c r="L345" i="72" s="1"/>
  <c r="T345" i="72" s="1"/>
  <c r="E343" i="72"/>
  <c r="N343" i="72" s="1"/>
  <c r="X343" i="72" s="1"/>
  <c r="D342" i="72"/>
  <c r="M342" i="72" s="1"/>
  <c r="V342" i="72" s="1"/>
  <c r="C341" i="72"/>
  <c r="L341" i="72" s="1"/>
  <c r="T341" i="72" s="1"/>
  <c r="E339" i="72"/>
  <c r="N339" i="72" s="1"/>
  <c r="X339" i="72" s="1"/>
  <c r="D338" i="72"/>
  <c r="M338" i="72" s="1"/>
  <c r="V338" i="72" s="1"/>
  <c r="C337" i="72"/>
  <c r="L337" i="72" s="1"/>
  <c r="T337" i="72" s="1"/>
  <c r="L336" i="72"/>
  <c r="T336" i="72" s="1"/>
  <c r="E335" i="72"/>
  <c r="N335" i="72" s="1"/>
  <c r="X335" i="72" s="1"/>
  <c r="D334" i="72"/>
  <c r="M334" i="72" s="1"/>
  <c r="V334" i="72" s="1"/>
  <c r="M333" i="72"/>
  <c r="W333" i="72" s="1"/>
  <c r="W354" i="72" s="1"/>
  <c r="E348" i="72"/>
  <c r="N348" i="72" s="1"/>
  <c r="X348" i="72" s="1"/>
  <c r="D343" i="72"/>
  <c r="M343" i="72" s="1"/>
  <c r="C338" i="72"/>
  <c r="L338" i="72" s="1"/>
  <c r="E352" i="72"/>
  <c r="N352" i="72" s="1"/>
  <c r="X352" i="72" s="1"/>
  <c r="D347" i="72"/>
  <c r="M347" i="72" s="1"/>
  <c r="V347" i="72" s="1"/>
  <c r="C342" i="72"/>
  <c r="L342" i="72" s="1"/>
  <c r="E336" i="72"/>
  <c r="N336" i="72" s="1"/>
  <c r="D351" i="72"/>
  <c r="M351" i="72" s="1"/>
  <c r="V351" i="72" s="1"/>
  <c r="C346" i="72"/>
  <c r="L346" i="72" s="1"/>
  <c r="E340" i="72"/>
  <c r="N340" i="72" s="1"/>
  <c r="D335" i="72"/>
  <c r="M335" i="72" s="1"/>
  <c r="E344" i="72"/>
  <c r="N344" i="72" s="1"/>
  <c r="C334" i="72"/>
  <c r="L334" i="72" s="1"/>
  <c r="T334" i="72" s="1"/>
  <c r="D339" i="72"/>
  <c r="M339" i="72" s="1"/>
  <c r="C350" i="72"/>
  <c r="L350" i="72" s="1"/>
  <c r="T350" i="72" s="1"/>
  <c r="L333" i="72"/>
  <c r="X304" i="72"/>
  <c r="U304" i="72"/>
  <c r="AA283" i="72"/>
  <c r="AA304" i="72" s="1"/>
  <c r="AA170" i="72"/>
  <c r="AA145" i="72"/>
  <c r="Q117" i="72"/>
  <c r="Y317" i="72"/>
  <c r="Z324" i="72"/>
  <c r="V308" i="72"/>
  <c r="L309" i="72"/>
  <c r="AA289" i="72"/>
  <c r="AA294" i="72"/>
  <c r="Y343" i="72" l="1"/>
  <c r="Y339" i="72"/>
  <c r="Y337" i="72"/>
  <c r="R92" i="72"/>
  <c r="P67" i="72"/>
  <c r="O67" i="72"/>
  <c r="AA308" i="72"/>
  <c r="AA329" i="72" s="1"/>
  <c r="U336" i="72"/>
  <c r="Y334" i="72"/>
  <c r="C42" i="75"/>
  <c r="C37" i="75"/>
  <c r="U337" i="72"/>
  <c r="U333" i="72"/>
  <c r="U354" i="72" s="1"/>
  <c r="C329" i="72"/>
  <c r="P111" i="72"/>
  <c r="Q136" i="72"/>
  <c r="O111" i="72"/>
  <c r="P109" i="72"/>
  <c r="O109" i="72"/>
  <c r="Q134" i="72"/>
  <c r="Q133" i="72"/>
  <c r="P108" i="72"/>
  <c r="O108" i="72"/>
  <c r="O113" i="72"/>
  <c r="Q138" i="72"/>
  <c r="P113" i="72"/>
  <c r="P110" i="72"/>
  <c r="O110" i="72"/>
  <c r="Q135" i="72"/>
  <c r="Q137" i="72"/>
  <c r="P112" i="72"/>
  <c r="O112" i="72"/>
  <c r="Q140" i="72"/>
  <c r="P115" i="72"/>
  <c r="O115" i="72"/>
  <c r="P114" i="72"/>
  <c r="O114" i="72"/>
  <c r="Q139" i="72"/>
  <c r="R116" i="72"/>
  <c r="O91" i="72"/>
  <c r="P91" i="72"/>
  <c r="W341" i="72"/>
  <c r="Z315" i="72"/>
  <c r="AA312" i="72"/>
  <c r="T304" i="72"/>
  <c r="Y342" i="72"/>
  <c r="U340" i="72"/>
  <c r="U344" i="72"/>
  <c r="U345" i="72"/>
  <c r="Y345" i="72"/>
  <c r="AA316" i="72"/>
  <c r="Z311" i="72"/>
  <c r="W342" i="72"/>
  <c r="Y341" i="72"/>
  <c r="Y338" i="72"/>
  <c r="W334" i="72"/>
  <c r="W338" i="72"/>
  <c r="Z320" i="72"/>
  <c r="AA71" i="72"/>
  <c r="Y346" i="72"/>
  <c r="AA311" i="72"/>
  <c r="AA321" i="72"/>
  <c r="AA96" i="72"/>
  <c r="AA296" i="72"/>
  <c r="AA319" i="72"/>
  <c r="AA318" i="72"/>
  <c r="AA121" i="72"/>
  <c r="AA146" i="72"/>
  <c r="AA320" i="72"/>
  <c r="V346" i="72"/>
  <c r="W346" i="72"/>
  <c r="Z334" i="72"/>
  <c r="Z350" i="72"/>
  <c r="Z349" i="72"/>
  <c r="AA315" i="72"/>
  <c r="AA196" i="72"/>
  <c r="AA21" i="72"/>
  <c r="AA171" i="72"/>
  <c r="AA246" i="72"/>
  <c r="V344" i="72"/>
  <c r="W344" i="72"/>
  <c r="V335" i="72"/>
  <c r="W335" i="72"/>
  <c r="T346" i="72"/>
  <c r="U346" i="72"/>
  <c r="X336" i="72"/>
  <c r="Y336" i="72"/>
  <c r="T338" i="72"/>
  <c r="Z338" i="72" s="1"/>
  <c r="U338" i="72"/>
  <c r="V340" i="72"/>
  <c r="W340" i="72"/>
  <c r="V339" i="72"/>
  <c r="Z339" i="72" s="1"/>
  <c r="W339" i="72"/>
  <c r="X344" i="72"/>
  <c r="Y344" i="72"/>
  <c r="V336" i="72"/>
  <c r="W336" i="72"/>
  <c r="X340" i="72"/>
  <c r="Y340" i="72"/>
  <c r="T342" i="72"/>
  <c r="Z342" i="72" s="1"/>
  <c r="U342" i="72"/>
  <c r="V343" i="72"/>
  <c r="Z343" i="72" s="1"/>
  <c r="W343" i="72"/>
  <c r="U122" i="72"/>
  <c r="AE26" i="72"/>
  <c r="AF25" i="72"/>
  <c r="AG25" i="72" s="1"/>
  <c r="AI25" i="72"/>
  <c r="Q22" i="72" s="1"/>
  <c r="U347" i="72"/>
  <c r="U197" i="72"/>
  <c r="U297" i="72"/>
  <c r="U247" i="72"/>
  <c r="U147" i="72"/>
  <c r="U97" i="72"/>
  <c r="U272" i="72"/>
  <c r="U222" i="72"/>
  <c r="U322" i="72"/>
  <c r="U172" i="72"/>
  <c r="U22" i="72"/>
  <c r="U47" i="72"/>
  <c r="U72" i="72"/>
  <c r="Q70" i="72"/>
  <c r="P45" i="72"/>
  <c r="O45" i="72"/>
  <c r="T309" i="72"/>
  <c r="U309" i="72"/>
  <c r="U343" i="72"/>
  <c r="U339" i="72"/>
  <c r="D354" i="72"/>
  <c r="Z348" i="72"/>
  <c r="Z352" i="72"/>
  <c r="N354" i="72"/>
  <c r="N355" i="72" s="1"/>
  <c r="X333" i="72"/>
  <c r="AA46" i="72"/>
  <c r="AA221" i="72"/>
  <c r="Y347" i="72"/>
  <c r="AV26" i="72"/>
  <c r="AW26" i="72" s="1"/>
  <c r="AU27" i="72"/>
  <c r="AY26" i="72"/>
  <c r="S23" i="72" s="1"/>
  <c r="S48" i="72" s="1"/>
  <c r="S73" i="72" s="1"/>
  <c r="S98" i="72" s="1"/>
  <c r="S123" i="72" s="1"/>
  <c r="S148" i="72" s="1"/>
  <c r="S173" i="72" s="1"/>
  <c r="S198" i="72" s="1"/>
  <c r="S223" i="72" s="1"/>
  <c r="S248" i="72" s="1"/>
  <c r="Y323" i="72"/>
  <c r="Y198" i="72"/>
  <c r="Y23" i="72"/>
  <c r="Y48" i="72"/>
  <c r="Y73" i="72"/>
  <c r="Y273" i="72"/>
  <c r="Y248" i="72"/>
  <c r="Y148" i="72"/>
  <c r="Y298" i="72"/>
  <c r="Y173" i="72"/>
  <c r="Y123" i="72"/>
  <c r="Y98" i="72"/>
  <c r="Y223" i="72"/>
  <c r="Y348" i="72"/>
  <c r="Z308" i="72"/>
  <c r="AA313" i="72"/>
  <c r="W345" i="72"/>
  <c r="AA317" i="72"/>
  <c r="AA314" i="72"/>
  <c r="M354" i="72"/>
  <c r="M355" i="72" s="1"/>
  <c r="V333" i="72"/>
  <c r="Z347" i="72"/>
  <c r="Z351" i="72"/>
  <c r="R646" i="72"/>
  <c r="R271" i="72"/>
  <c r="R296" i="72" s="1"/>
  <c r="R321" i="72" s="1"/>
  <c r="R346" i="72" s="1"/>
  <c r="R371" i="72" s="1"/>
  <c r="R396" i="72" s="1"/>
  <c r="R421" i="72" s="1"/>
  <c r="R446" i="72" s="1"/>
  <c r="R471" i="72" s="1"/>
  <c r="R496" i="72" s="1"/>
  <c r="R521" i="72" s="1"/>
  <c r="R546" i="72" s="1"/>
  <c r="R571" i="72" s="1"/>
  <c r="R596" i="72" s="1"/>
  <c r="R621" i="72" s="1"/>
  <c r="U341" i="72"/>
  <c r="Y335" i="72"/>
  <c r="T333" i="72"/>
  <c r="E354" i="72"/>
  <c r="E377" i="72"/>
  <c r="N377" i="72" s="1"/>
  <c r="D376" i="72"/>
  <c r="M376" i="72" s="1"/>
  <c r="C375" i="72"/>
  <c r="L375" i="72" s="1"/>
  <c r="E373" i="72"/>
  <c r="N373" i="72" s="1"/>
  <c r="Y373" i="72" s="1"/>
  <c r="D372" i="72"/>
  <c r="M372" i="72" s="1"/>
  <c r="W372" i="72" s="1"/>
  <c r="C371" i="72"/>
  <c r="E369" i="72"/>
  <c r="N369" i="72" s="1"/>
  <c r="Y369" i="72" s="1"/>
  <c r="D368" i="72"/>
  <c r="M368" i="72" s="1"/>
  <c r="W368" i="72" s="1"/>
  <c r="C367" i="72"/>
  <c r="L367" i="72" s="1"/>
  <c r="A381" i="72"/>
  <c r="C378" i="72"/>
  <c r="L378" i="72" s="1"/>
  <c r="T378" i="72" s="1"/>
  <c r="C376" i="72"/>
  <c r="L376" i="72" s="1"/>
  <c r="D374" i="72"/>
  <c r="M374" i="72" s="1"/>
  <c r="E372" i="72"/>
  <c r="N372" i="72" s="1"/>
  <c r="E370" i="72"/>
  <c r="N370" i="72" s="1"/>
  <c r="C369" i="72"/>
  <c r="L369" i="72" s="1"/>
  <c r="U369" i="72" s="1"/>
  <c r="D367" i="72"/>
  <c r="M367" i="72" s="1"/>
  <c r="E366" i="72"/>
  <c r="N366" i="72" s="1"/>
  <c r="D365" i="72"/>
  <c r="M365" i="72" s="1"/>
  <c r="W365" i="72" s="1"/>
  <c r="C364" i="72"/>
  <c r="L364" i="72" s="1"/>
  <c r="E362" i="72"/>
  <c r="N362" i="72" s="1"/>
  <c r="D361" i="72"/>
  <c r="M361" i="72" s="1"/>
  <c r="C360" i="72"/>
  <c r="L360" i="72" s="1"/>
  <c r="D377" i="72"/>
  <c r="M377" i="72" s="1"/>
  <c r="E375" i="72"/>
  <c r="N375" i="72" s="1"/>
  <c r="C374" i="72"/>
  <c r="L374" i="72" s="1"/>
  <c r="C372" i="72"/>
  <c r="L372" i="72" s="1"/>
  <c r="U372" i="72" s="1"/>
  <c r="L371" i="72"/>
  <c r="D370" i="72"/>
  <c r="M370" i="72" s="1"/>
  <c r="W370" i="72" s="1"/>
  <c r="E368" i="72"/>
  <c r="N368" i="72" s="1"/>
  <c r="D366" i="72"/>
  <c r="M366" i="72" s="1"/>
  <c r="W366" i="72" s="1"/>
  <c r="C365" i="72"/>
  <c r="L365" i="72" s="1"/>
  <c r="U365" i="72" s="1"/>
  <c r="E363" i="72"/>
  <c r="N363" i="72" s="1"/>
  <c r="D362" i="72"/>
  <c r="M362" i="72" s="1"/>
  <c r="W362" i="72" s="1"/>
  <c r="E359" i="72"/>
  <c r="N359" i="72" s="1"/>
  <c r="N358" i="72"/>
  <c r="Y358" i="72" s="1"/>
  <c r="Y379" i="72" s="1"/>
  <c r="E378" i="72"/>
  <c r="N378" i="72" s="1"/>
  <c r="X378" i="72" s="1"/>
  <c r="C377" i="72"/>
  <c r="L377" i="72" s="1"/>
  <c r="D375" i="72"/>
  <c r="M375" i="72" s="1"/>
  <c r="D373" i="72"/>
  <c r="M373" i="72" s="1"/>
  <c r="E371" i="72"/>
  <c r="N371" i="72" s="1"/>
  <c r="Y371" i="72" s="1"/>
  <c r="C370" i="72"/>
  <c r="L370" i="72" s="1"/>
  <c r="C368" i="72"/>
  <c r="L368" i="72" s="1"/>
  <c r="U368" i="72" s="1"/>
  <c r="C366" i="72"/>
  <c r="L366" i="72" s="1"/>
  <c r="E364" i="72"/>
  <c r="N364" i="72" s="1"/>
  <c r="Y364" i="72" s="1"/>
  <c r="D363" i="72"/>
  <c r="M363" i="72" s="1"/>
  <c r="C362" i="72"/>
  <c r="L362" i="72" s="1"/>
  <c r="E360" i="72"/>
  <c r="N360" i="72" s="1"/>
  <c r="D359" i="72"/>
  <c r="M359" i="72" s="1"/>
  <c r="M358" i="72"/>
  <c r="W358" i="72" s="1"/>
  <c r="W379" i="72" s="1"/>
  <c r="E374" i="72"/>
  <c r="N374" i="72" s="1"/>
  <c r="C373" i="72"/>
  <c r="L373" i="72" s="1"/>
  <c r="C363" i="72"/>
  <c r="L363" i="72" s="1"/>
  <c r="E376" i="72"/>
  <c r="N376" i="72" s="1"/>
  <c r="E367" i="72"/>
  <c r="N367" i="72" s="1"/>
  <c r="E361" i="72"/>
  <c r="N361" i="72" s="1"/>
  <c r="D378" i="72"/>
  <c r="M378" i="72" s="1"/>
  <c r="V378" i="72" s="1"/>
  <c r="D369" i="72"/>
  <c r="M369" i="72" s="1"/>
  <c r="E365" i="72"/>
  <c r="N365" i="72" s="1"/>
  <c r="D360" i="72"/>
  <c r="M360" i="72" s="1"/>
  <c r="C359" i="72"/>
  <c r="L359" i="72" s="1"/>
  <c r="U359" i="72" s="1"/>
  <c r="L358" i="72"/>
  <c r="D364" i="72"/>
  <c r="M364" i="72" s="1"/>
  <c r="D371" i="72"/>
  <c r="M371" i="72" s="1"/>
  <c r="C335" i="72"/>
  <c r="L335" i="72" s="1"/>
  <c r="L354" i="72" s="1"/>
  <c r="L355" i="72" s="1"/>
  <c r="Z304" i="72"/>
  <c r="N5" i="77" s="1"/>
  <c r="N10" i="77" s="1"/>
  <c r="N36" i="75" s="1"/>
  <c r="X329" i="72"/>
  <c r="AA271" i="72"/>
  <c r="Q118" i="72"/>
  <c r="P93" i="72"/>
  <c r="O93" i="72"/>
  <c r="T310" i="72"/>
  <c r="Z310" i="72" s="1"/>
  <c r="U310" i="72"/>
  <c r="AA310" i="72" s="1"/>
  <c r="AN25" i="72"/>
  <c r="AO25" i="72" s="1"/>
  <c r="W97" i="72"/>
  <c r="W72" i="72"/>
  <c r="W47" i="72"/>
  <c r="AM26" i="72"/>
  <c r="W322" i="72"/>
  <c r="W172" i="72"/>
  <c r="W272" i="72"/>
  <c r="W222" i="72"/>
  <c r="AQ25" i="72"/>
  <c r="R22" i="72" s="1"/>
  <c r="R47" i="72" s="1"/>
  <c r="R72" i="72" s="1"/>
  <c r="R97" i="72" s="1"/>
  <c r="R122" i="72" s="1"/>
  <c r="R147" i="72" s="1"/>
  <c r="R172" i="72" s="1"/>
  <c r="R197" i="72" s="1"/>
  <c r="R222" i="72" s="1"/>
  <c r="R247" i="72" s="1"/>
  <c r="W122" i="72"/>
  <c r="W22" i="72"/>
  <c r="W297" i="72"/>
  <c r="W247" i="72"/>
  <c r="W147" i="72"/>
  <c r="W347" i="72"/>
  <c r="W197" i="72"/>
  <c r="L42" i="75"/>
  <c r="L37" i="75"/>
  <c r="L329" i="72"/>
  <c r="L330" i="72" s="1"/>
  <c r="E330" i="72" s="1"/>
  <c r="Q94" i="72"/>
  <c r="P69" i="72"/>
  <c r="O69" i="72"/>
  <c r="Z318" i="72"/>
  <c r="Z313" i="72"/>
  <c r="Z317" i="72"/>
  <c r="Z314" i="72"/>
  <c r="Q142" i="72"/>
  <c r="W337" i="72"/>
  <c r="U334" i="72"/>
  <c r="Z345" i="72"/>
  <c r="Z341" i="72"/>
  <c r="Z337" i="72"/>
  <c r="Z353" i="72"/>
  <c r="P21" i="72"/>
  <c r="O21" i="72"/>
  <c r="Q46" i="72"/>
  <c r="S647" i="72"/>
  <c r="S272" i="72"/>
  <c r="S297" i="72" s="1"/>
  <c r="S322" i="72" s="1"/>
  <c r="S347" i="72" s="1"/>
  <c r="S372" i="72" s="1"/>
  <c r="S397" i="72" s="1"/>
  <c r="S422" i="72" s="1"/>
  <c r="S447" i="72" s="1"/>
  <c r="S472" i="72" s="1"/>
  <c r="S497" i="72" s="1"/>
  <c r="S522" i="72" s="1"/>
  <c r="S547" i="72" s="1"/>
  <c r="S572" i="72" s="1"/>
  <c r="S597" i="72" s="1"/>
  <c r="S622" i="72" s="1"/>
  <c r="V309" i="72"/>
  <c r="V329" i="72" s="1"/>
  <c r="W309" i="72"/>
  <c r="Q166" i="72"/>
  <c r="M37" i="75"/>
  <c r="M42" i="75"/>
  <c r="AA337" i="72" l="1"/>
  <c r="R117" i="72"/>
  <c r="O92" i="72"/>
  <c r="P92" i="72"/>
  <c r="Z346" i="72"/>
  <c r="AA334" i="72"/>
  <c r="AA333" i="72"/>
  <c r="AA354" i="72" s="1"/>
  <c r="U358" i="72"/>
  <c r="U379" i="72" s="1"/>
  <c r="Q164" i="72"/>
  <c r="O139" i="72"/>
  <c r="P139" i="72"/>
  <c r="P140" i="72"/>
  <c r="O140" i="72"/>
  <c r="Q165" i="72"/>
  <c r="Q160" i="72"/>
  <c r="O135" i="72"/>
  <c r="P135" i="72"/>
  <c r="O138" i="72"/>
  <c r="P138" i="72"/>
  <c r="Q163" i="72"/>
  <c r="Q158" i="72"/>
  <c r="O133" i="72"/>
  <c r="P133" i="72"/>
  <c r="P137" i="72"/>
  <c r="Q162" i="72"/>
  <c r="O137" i="72"/>
  <c r="P134" i="72"/>
  <c r="O134" i="72"/>
  <c r="Q159" i="72"/>
  <c r="O136" i="72"/>
  <c r="Q161" i="72"/>
  <c r="P136" i="72"/>
  <c r="R141" i="72"/>
  <c r="P116" i="72"/>
  <c r="O116" i="72"/>
  <c r="Z340" i="72"/>
  <c r="Z336" i="72"/>
  <c r="AA342" i="72"/>
  <c r="AA338" i="72"/>
  <c r="AA345" i="72"/>
  <c r="Z344" i="72"/>
  <c r="X354" i="72"/>
  <c r="V354" i="72"/>
  <c r="AA341" i="72"/>
  <c r="E355" i="72"/>
  <c r="AA340" i="72"/>
  <c r="AA346" i="72"/>
  <c r="AA336" i="72"/>
  <c r="Z378" i="72"/>
  <c r="AA47" i="72"/>
  <c r="AA343" i="72"/>
  <c r="AA97" i="72"/>
  <c r="AA344" i="72"/>
  <c r="D647" i="72"/>
  <c r="V371" i="72"/>
  <c r="W371" i="72"/>
  <c r="D636" i="72"/>
  <c r="V360" i="72"/>
  <c r="W360" i="72"/>
  <c r="C639" i="72"/>
  <c r="T363" i="72"/>
  <c r="U363" i="72"/>
  <c r="D639" i="72"/>
  <c r="V363" i="72"/>
  <c r="W363" i="72"/>
  <c r="D651" i="72"/>
  <c r="V375" i="72"/>
  <c r="C636" i="72"/>
  <c r="T360" i="72"/>
  <c r="U360" i="72"/>
  <c r="D640" i="72"/>
  <c r="V364" i="72"/>
  <c r="W364" i="72"/>
  <c r="E639" i="72"/>
  <c r="X363" i="72"/>
  <c r="Y363" i="72"/>
  <c r="E644" i="72"/>
  <c r="X368" i="72"/>
  <c r="Y368" i="72"/>
  <c r="AA368" i="72" s="1"/>
  <c r="E642" i="72"/>
  <c r="X366" i="72"/>
  <c r="Y366" i="72"/>
  <c r="D652" i="72"/>
  <c r="V376" i="72"/>
  <c r="E643" i="72"/>
  <c r="X367" i="72"/>
  <c r="Y367" i="72"/>
  <c r="C646" i="72"/>
  <c r="T370" i="72"/>
  <c r="U370" i="72"/>
  <c r="E641" i="72"/>
  <c r="X365" i="72"/>
  <c r="Y365" i="72"/>
  <c r="AA365" i="72" s="1"/>
  <c r="E650" i="72"/>
  <c r="X374" i="72"/>
  <c r="C638" i="72"/>
  <c r="T362" i="72"/>
  <c r="U362" i="72"/>
  <c r="C653" i="72"/>
  <c r="T377" i="72"/>
  <c r="E635" i="72"/>
  <c r="X359" i="72"/>
  <c r="Y359" i="72"/>
  <c r="E638" i="72"/>
  <c r="X362" i="72"/>
  <c r="Y362" i="72"/>
  <c r="D643" i="72"/>
  <c r="V367" i="72"/>
  <c r="W367" i="72"/>
  <c r="E646" i="72"/>
  <c r="X370" i="72"/>
  <c r="Y370" i="72"/>
  <c r="D650" i="72"/>
  <c r="V374" i="72"/>
  <c r="D645" i="72"/>
  <c r="V369" i="72"/>
  <c r="W369" i="72"/>
  <c r="AA369" i="72" s="1"/>
  <c r="E637" i="72"/>
  <c r="X361" i="72"/>
  <c r="Y361" i="72"/>
  <c r="C642" i="72"/>
  <c r="T366" i="72"/>
  <c r="U366" i="72"/>
  <c r="E651" i="72"/>
  <c r="X375" i="72"/>
  <c r="C640" i="72"/>
  <c r="T364" i="72"/>
  <c r="U364" i="72"/>
  <c r="R647" i="72"/>
  <c r="R272" i="72"/>
  <c r="R297" i="72" s="1"/>
  <c r="R322" i="72" s="1"/>
  <c r="R347" i="72" s="1"/>
  <c r="R372" i="72" s="1"/>
  <c r="R397" i="72" s="1"/>
  <c r="R422" i="72" s="1"/>
  <c r="R447" i="72" s="1"/>
  <c r="R472" i="72" s="1"/>
  <c r="R497" i="72" s="1"/>
  <c r="R522" i="72" s="1"/>
  <c r="R547" i="72" s="1"/>
  <c r="R572" i="72" s="1"/>
  <c r="R597" i="72" s="1"/>
  <c r="R622" i="72" s="1"/>
  <c r="D635" i="72"/>
  <c r="V359" i="72"/>
  <c r="C643" i="72"/>
  <c r="T367" i="72"/>
  <c r="D648" i="72"/>
  <c r="V372" i="72"/>
  <c r="D637" i="72"/>
  <c r="V361" i="72"/>
  <c r="E647" i="72"/>
  <c r="X371" i="72"/>
  <c r="E648" i="72"/>
  <c r="X372" i="72"/>
  <c r="E652" i="72"/>
  <c r="X376" i="72"/>
  <c r="Y372" i="72"/>
  <c r="AA372" i="72" s="1"/>
  <c r="N42" i="75"/>
  <c r="N37" i="75"/>
  <c r="U367" i="72"/>
  <c r="D646" i="72"/>
  <c r="V370" i="72"/>
  <c r="D644" i="72"/>
  <c r="V368" i="72"/>
  <c r="C647" i="72"/>
  <c r="T371" i="72"/>
  <c r="U371" i="72"/>
  <c r="T329" i="72"/>
  <c r="AA22" i="72"/>
  <c r="AA222" i="72"/>
  <c r="AA147" i="72"/>
  <c r="E649" i="72"/>
  <c r="X373" i="72"/>
  <c r="E636" i="72"/>
  <c r="X360" i="72"/>
  <c r="D379" i="72"/>
  <c r="C649" i="72"/>
  <c r="T373" i="72"/>
  <c r="Q47" i="72"/>
  <c r="O22" i="72"/>
  <c r="P22" i="72"/>
  <c r="W198" i="72"/>
  <c r="W98" i="72"/>
  <c r="AM27" i="72"/>
  <c r="AN26" i="72"/>
  <c r="AO26" i="72" s="1"/>
  <c r="W173" i="72"/>
  <c r="W123" i="72"/>
  <c r="W73" i="72"/>
  <c r="W48" i="72"/>
  <c r="AQ26" i="72"/>
  <c r="R23" i="72" s="1"/>
  <c r="R48" i="72" s="1"/>
  <c r="R73" i="72" s="1"/>
  <c r="R98" i="72" s="1"/>
  <c r="R123" i="72" s="1"/>
  <c r="R148" i="72" s="1"/>
  <c r="R173" i="72" s="1"/>
  <c r="R198" i="72" s="1"/>
  <c r="R223" i="72" s="1"/>
  <c r="R248" i="72" s="1"/>
  <c r="W23" i="72"/>
  <c r="W373" i="72"/>
  <c r="W298" i="72"/>
  <c r="W348" i="72"/>
  <c r="W248" i="72"/>
  <c r="W148" i="72"/>
  <c r="W273" i="72"/>
  <c r="W223" i="72"/>
  <c r="W323" i="72"/>
  <c r="T335" i="72"/>
  <c r="Z335" i="72" s="1"/>
  <c r="U335" i="72"/>
  <c r="AA335" i="72" s="1"/>
  <c r="W361" i="72"/>
  <c r="Y360" i="72"/>
  <c r="C648" i="72"/>
  <c r="T372" i="72"/>
  <c r="E640" i="72"/>
  <c r="X364" i="72"/>
  <c r="C652" i="72"/>
  <c r="T376" i="72"/>
  <c r="E634" i="72"/>
  <c r="N379" i="72"/>
  <c r="N380" i="72" s="1"/>
  <c r="X358" i="72"/>
  <c r="C635" i="72"/>
  <c r="T359" i="72"/>
  <c r="E645" i="72"/>
  <c r="X369" i="72"/>
  <c r="C651" i="72"/>
  <c r="T375" i="72"/>
  <c r="C354" i="72"/>
  <c r="S648" i="72"/>
  <c r="S273" i="72"/>
  <c r="S298" i="72" s="1"/>
  <c r="S323" i="72" s="1"/>
  <c r="S348" i="72" s="1"/>
  <c r="S373" i="72" s="1"/>
  <c r="S398" i="72" s="1"/>
  <c r="S423" i="72" s="1"/>
  <c r="S448" i="72" s="1"/>
  <c r="S473" i="72" s="1"/>
  <c r="S498" i="72" s="1"/>
  <c r="S523" i="72" s="1"/>
  <c r="S548" i="72" s="1"/>
  <c r="S573" i="72" s="1"/>
  <c r="S598" i="72" s="1"/>
  <c r="S623" i="72" s="1"/>
  <c r="AA309" i="72"/>
  <c r="Q95" i="72"/>
  <c r="O70" i="72"/>
  <c r="P70" i="72"/>
  <c r="AA172" i="72"/>
  <c r="AA272" i="72"/>
  <c r="AA247" i="72"/>
  <c r="AA197" i="72"/>
  <c r="AF26" i="72"/>
  <c r="AG26" i="72" s="1"/>
  <c r="AE27" i="72"/>
  <c r="U323" i="72"/>
  <c r="U198" i="72"/>
  <c r="U273" i="72"/>
  <c r="U248" i="72"/>
  <c r="U148" i="72"/>
  <c r="AI26" i="72"/>
  <c r="Q23" i="72" s="1"/>
  <c r="U98" i="72"/>
  <c r="U348" i="72"/>
  <c r="U373" i="72"/>
  <c r="U223" i="72"/>
  <c r="U123" i="72"/>
  <c r="U298" i="72"/>
  <c r="U173" i="72"/>
  <c r="U23" i="72"/>
  <c r="U48" i="72"/>
  <c r="U73" i="72"/>
  <c r="Q119" i="72"/>
  <c r="P94" i="72"/>
  <c r="O94" i="72"/>
  <c r="Q143" i="72"/>
  <c r="P118" i="72"/>
  <c r="O118" i="72"/>
  <c r="D653" i="72"/>
  <c r="V377" i="72"/>
  <c r="C641" i="72"/>
  <c r="T365" i="72"/>
  <c r="E653" i="72"/>
  <c r="X377" i="72"/>
  <c r="D641" i="72"/>
  <c r="V365" i="72"/>
  <c r="C644" i="72"/>
  <c r="T368" i="72"/>
  <c r="M403" i="72"/>
  <c r="V403" i="72" s="1"/>
  <c r="C403" i="72"/>
  <c r="P402" i="72"/>
  <c r="L402" i="72"/>
  <c r="T402" i="72" s="1"/>
  <c r="O401" i="72"/>
  <c r="E401" i="72"/>
  <c r="N400" i="72"/>
  <c r="X400" i="72" s="1"/>
  <c r="D400" i="72"/>
  <c r="M399" i="72"/>
  <c r="V399" i="72" s="1"/>
  <c r="C399" i="72"/>
  <c r="P398" i="72"/>
  <c r="L398" i="72"/>
  <c r="T398" i="72" s="1"/>
  <c r="O397" i="72"/>
  <c r="E397" i="72"/>
  <c r="N396" i="72"/>
  <c r="X396" i="72" s="1"/>
  <c r="P403" i="72"/>
  <c r="L403" i="72"/>
  <c r="T403" i="72" s="1"/>
  <c r="O402" i="72"/>
  <c r="E402" i="72"/>
  <c r="N401" i="72"/>
  <c r="X401" i="72" s="1"/>
  <c r="D401" i="72"/>
  <c r="M400" i="72"/>
  <c r="V400" i="72" s="1"/>
  <c r="C400" i="72"/>
  <c r="P399" i="72"/>
  <c r="L399" i="72"/>
  <c r="T399" i="72" s="1"/>
  <c r="O398" i="72"/>
  <c r="E398" i="72"/>
  <c r="N397" i="72"/>
  <c r="X397" i="72" s="1"/>
  <c r="D397" i="72"/>
  <c r="M396" i="72"/>
  <c r="V396" i="72" s="1"/>
  <c r="C396" i="72"/>
  <c r="P395" i="72"/>
  <c r="L395" i="72"/>
  <c r="T395" i="72" s="1"/>
  <c r="O394" i="72"/>
  <c r="E394" i="72"/>
  <c r="N393" i="72"/>
  <c r="X393" i="72" s="1"/>
  <c r="D393" i="72"/>
  <c r="M392" i="72"/>
  <c r="V392" i="72" s="1"/>
  <c r="C392" i="72"/>
  <c r="P391" i="72"/>
  <c r="L391" i="72"/>
  <c r="T391" i="72" s="1"/>
  <c r="O390" i="72"/>
  <c r="E390" i="72"/>
  <c r="N389" i="72"/>
  <c r="X389" i="72" s="1"/>
  <c r="D389" i="72"/>
  <c r="M388" i="72"/>
  <c r="V388" i="72" s="1"/>
  <c r="C388" i="72"/>
  <c r="P387" i="72"/>
  <c r="L387" i="72"/>
  <c r="T387" i="72" s="1"/>
  <c r="O386" i="72"/>
  <c r="E386" i="72"/>
  <c r="N385" i="72"/>
  <c r="X385" i="72" s="1"/>
  <c r="D385" i="72"/>
  <c r="M384" i="72"/>
  <c r="V384" i="72" s="1"/>
  <c r="C384" i="72"/>
  <c r="P383" i="72"/>
  <c r="L383" i="72"/>
  <c r="O403" i="72"/>
  <c r="E403" i="72"/>
  <c r="N402" i="72"/>
  <c r="X402" i="72" s="1"/>
  <c r="D402" i="72"/>
  <c r="M401" i="72"/>
  <c r="V401" i="72" s="1"/>
  <c r="C401" i="72"/>
  <c r="P400" i="72"/>
  <c r="L400" i="72"/>
  <c r="T400" i="72" s="1"/>
  <c r="O399" i="72"/>
  <c r="E399" i="72"/>
  <c r="N398" i="72"/>
  <c r="X398" i="72" s="1"/>
  <c r="D398" i="72"/>
  <c r="M397" i="72"/>
  <c r="V397" i="72" s="1"/>
  <c r="C397" i="72"/>
  <c r="P396" i="72"/>
  <c r="L396" i="72"/>
  <c r="T396" i="72" s="1"/>
  <c r="O395" i="72"/>
  <c r="E395" i="72"/>
  <c r="N394" i="72"/>
  <c r="X394" i="72" s="1"/>
  <c r="D394" i="72"/>
  <c r="M393" i="72"/>
  <c r="V393" i="72" s="1"/>
  <c r="C393" i="72"/>
  <c r="P392" i="72"/>
  <c r="L392" i="72"/>
  <c r="T392" i="72" s="1"/>
  <c r="O391" i="72"/>
  <c r="E391" i="72"/>
  <c r="N390" i="72"/>
  <c r="X390" i="72" s="1"/>
  <c r="D390" i="72"/>
  <c r="C402" i="72"/>
  <c r="L401" i="72"/>
  <c r="T401" i="72" s="1"/>
  <c r="O400" i="72"/>
  <c r="E396" i="72"/>
  <c r="N395" i="72"/>
  <c r="X395" i="72" s="1"/>
  <c r="C394" i="72"/>
  <c r="L393" i="72"/>
  <c r="T393" i="72" s="1"/>
  <c r="O392" i="72"/>
  <c r="D391" i="72"/>
  <c r="M390" i="72"/>
  <c r="V390" i="72" s="1"/>
  <c r="P389" i="72"/>
  <c r="E389" i="72"/>
  <c r="N388" i="72"/>
  <c r="X388" i="72" s="1"/>
  <c r="E387" i="72"/>
  <c r="N386" i="72"/>
  <c r="X386" i="72" s="1"/>
  <c r="C386" i="72"/>
  <c r="L385" i="72"/>
  <c r="T385" i="72" s="1"/>
  <c r="O384" i="72"/>
  <c r="D384" i="72"/>
  <c r="M383" i="72"/>
  <c r="W383" i="72" s="1"/>
  <c r="W404" i="72" s="1"/>
  <c r="E400" i="72"/>
  <c r="N399" i="72"/>
  <c r="X399" i="72" s="1"/>
  <c r="D396" i="72"/>
  <c r="M395" i="72"/>
  <c r="V395" i="72" s="1"/>
  <c r="P394" i="72"/>
  <c r="E393" i="72"/>
  <c r="N392" i="72"/>
  <c r="X392" i="72" s="1"/>
  <c r="C391" i="72"/>
  <c r="L390" i="72"/>
  <c r="T390" i="72" s="1"/>
  <c r="O389" i="72"/>
  <c r="C389" i="72"/>
  <c r="L388" i="72"/>
  <c r="T388" i="72" s="1"/>
  <c r="O387" i="72"/>
  <c r="D387" i="72"/>
  <c r="M386" i="72"/>
  <c r="V386" i="72" s="1"/>
  <c r="P385" i="72"/>
  <c r="E385" i="72"/>
  <c r="N384" i="72"/>
  <c r="X384" i="72" s="1"/>
  <c r="N403" i="72"/>
  <c r="X403" i="72" s="1"/>
  <c r="D399" i="72"/>
  <c r="M398" i="72"/>
  <c r="V398" i="72" s="1"/>
  <c r="P397" i="72"/>
  <c r="D395" i="72"/>
  <c r="M394" i="72"/>
  <c r="V394" i="72" s="1"/>
  <c r="P393" i="72"/>
  <c r="E392" i="72"/>
  <c r="N391" i="72"/>
  <c r="X391" i="72" s="1"/>
  <c r="C390" i="72"/>
  <c r="M389" i="72"/>
  <c r="V389" i="72" s="1"/>
  <c r="P388" i="72"/>
  <c r="E388" i="72"/>
  <c r="N387" i="72"/>
  <c r="X387" i="72" s="1"/>
  <c r="C387" i="72"/>
  <c r="L386" i="72"/>
  <c r="T386" i="72" s="1"/>
  <c r="O385" i="72"/>
  <c r="C385" i="72"/>
  <c r="L384" i="72"/>
  <c r="T384" i="72" s="1"/>
  <c r="O383" i="72"/>
  <c r="M402" i="72"/>
  <c r="V402" i="72" s="1"/>
  <c r="L394" i="72"/>
  <c r="T394" i="72" s="1"/>
  <c r="L389" i="72"/>
  <c r="T389" i="72" s="1"/>
  <c r="D388" i="72"/>
  <c r="P401" i="72"/>
  <c r="C398" i="72"/>
  <c r="D392" i="72"/>
  <c r="P390" i="72"/>
  <c r="P384" i="72"/>
  <c r="N383" i="72"/>
  <c r="Y383" i="72" s="1"/>
  <c r="Y404" i="72" s="1"/>
  <c r="A406" i="72"/>
  <c r="L397" i="72"/>
  <c r="T397" i="72" s="1"/>
  <c r="C395" i="72"/>
  <c r="O393" i="72"/>
  <c r="P386" i="72"/>
  <c r="M385" i="72"/>
  <c r="V385" i="72" s="1"/>
  <c r="E384" i="72"/>
  <c r="O396" i="72"/>
  <c r="M387" i="72"/>
  <c r="V387" i="72" s="1"/>
  <c r="O388" i="72"/>
  <c r="D403" i="72"/>
  <c r="M391" i="72"/>
  <c r="V391" i="72" s="1"/>
  <c r="D386" i="72"/>
  <c r="Q71" i="72"/>
  <c r="P46" i="72"/>
  <c r="O46" i="72"/>
  <c r="Q167" i="72"/>
  <c r="Q191" i="72"/>
  <c r="W359" i="72"/>
  <c r="C634" i="72"/>
  <c r="T358" i="72"/>
  <c r="D634" i="72"/>
  <c r="M379" i="72"/>
  <c r="M380" i="72" s="1"/>
  <c r="V358" i="72"/>
  <c r="D638" i="72"/>
  <c r="V362" i="72"/>
  <c r="D642" i="72"/>
  <c r="V366" i="72"/>
  <c r="C645" i="72"/>
  <c r="T369" i="72"/>
  <c r="E379" i="72"/>
  <c r="C361" i="72"/>
  <c r="L361" i="72" s="1"/>
  <c r="L379" i="72" s="1"/>
  <c r="L380" i="72" s="1"/>
  <c r="D649" i="72"/>
  <c r="V373" i="72"/>
  <c r="C650" i="72"/>
  <c r="T374" i="72"/>
  <c r="Z333" i="72"/>
  <c r="Y74" i="72"/>
  <c r="AU28" i="72"/>
  <c r="Y99" i="72"/>
  <c r="Y49" i="72"/>
  <c r="AV27" i="72"/>
  <c r="AW27" i="72" s="1"/>
  <c r="Y124" i="72"/>
  <c r="AY27" i="72"/>
  <c r="S24" i="72" s="1"/>
  <c r="S49" i="72" s="1"/>
  <c r="S74" i="72" s="1"/>
  <c r="S99" i="72" s="1"/>
  <c r="S124" i="72" s="1"/>
  <c r="S149" i="72" s="1"/>
  <c r="S174" i="72" s="1"/>
  <c r="S199" i="72" s="1"/>
  <c r="S224" i="72" s="1"/>
  <c r="S249" i="72" s="1"/>
  <c r="Y349" i="72"/>
  <c r="Y299" i="72"/>
  <c r="Y249" i="72"/>
  <c r="Y199" i="72"/>
  <c r="Y149" i="72"/>
  <c r="Y374" i="72"/>
  <c r="Y324" i="72"/>
  <c r="Y274" i="72"/>
  <c r="Y224" i="72"/>
  <c r="Y174" i="72"/>
  <c r="Y24" i="72"/>
  <c r="AA339" i="72"/>
  <c r="Z309" i="72"/>
  <c r="Z329" i="72" s="1"/>
  <c r="O5" i="77" s="1"/>
  <c r="O10" i="77" s="1"/>
  <c r="O36" i="75" s="1"/>
  <c r="AA72" i="72"/>
  <c r="AA322" i="72"/>
  <c r="AA297" i="72"/>
  <c r="AA347" i="72"/>
  <c r="AA122" i="72"/>
  <c r="AA198" i="72" l="1"/>
  <c r="Z371" i="72"/>
  <c r="AA98" i="72"/>
  <c r="U391" i="72"/>
  <c r="R142" i="72"/>
  <c r="P117" i="72"/>
  <c r="O117" i="72"/>
  <c r="Y389" i="72"/>
  <c r="AA358" i="72"/>
  <c r="AA379" i="72" s="1"/>
  <c r="Y394" i="72"/>
  <c r="U383" i="72"/>
  <c r="AA383" i="72" s="1"/>
  <c r="AA404" i="72" s="1"/>
  <c r="U388" i="72"/>
  <c r="Y387" i="72"/>
  <c r="AA371" i="72"/>
  <c r="O161" i="72"/>
  <c r="P161" i="72"/>
  <c r="Q186" i="72"/>
  <c r="Q185" i="72"/>
  <c r="O160" i="72"/>
  <c r="P160" i="72"/>
  <c r="Q188" i="72"/>
  <c r="P163" i="72"/>
  <c r="O163" i="72"/>
  <c r="P165" i="72"/>
  <c r="O165" i="72"/>
  <c r="Q190" i="72"/>
  <c r="R166" i="72"/>
  <c r="O141" i="72"/>
  <c r="P141" i="72"/>
  <c r="Q184" i="72"/>
  <c r="P159" i="72"/>
  <c r="O159" i="72"/>
  <c r="P162" i="72"/>
  <c r="O162" i="72"/>
  <c r="Q187" i="72"/>
  <c r="Q183" i="72"/>
  <c r="P158" i="72"/>
  <c r="O158" i="72"/>
  <c r="P164" i="72"/>
  <c r="Q189" i="72"/>
  <c r="O164" i="72"/>
  <c r="U389" i="72"/>
  <c r="W388" i="72"/>
  <c r="W396" i="72"/>
  <c r="W389" i="72"/>
  <c r="U387" i="72"/>
  <c r="W391" i="72"/>
  <c r="U394" i="72"/>
  <c r="Z368" i="72"/>
  <c r="U395" i="72"/>
  <c r="U392" i="72"/>
  <c r="W394" i="72"/>
  <c r="Y395" i="72"/>
  <c r="W393" i="72"/>
  <c r="Z367" i="72"/>
  <c r="W395" i="72"/>
  <c r="Z375" i="72"/>
  <c r="U396" i="72"/>
  <c r="W392" i="72"/>
  <c r="W390" i="72"/>
  <c r="W387" i="72"/>
  <c r="U385" i="72"/>
  <c r="Y384" i="72"/>
  <c r="U386" i="72"/>
  <c r="Y396" i="72"/>
  <c r="U390" i="72"/>
  <c r="Y388" i="72"/>
  <c r="W385" i="72"/>
  <c r="W384" i="72"/>
  <c r="Z393" i="72"/>
  <c r="Z372" i="72"/>
  <c r="AA73" i="72"/>
  <c r="Z369" i="72"/>
  <c r="Z354" i="72"/>
  <c r="P5" i="77" s="1"/>
  <c r="P10" i="77" s="1"/>
  <c r="P36" i="75" s="1"/>
  <c r="P37" i="75" s="1"/>
  <c r="T354" i="72"/>
  <c r="AA298" i="72"/>
  <c r="AA348" i="72"/>
  <c r="AA367" i="72"/>
  <c r="AA366" i="72"/>
  <c r="AA173" i="72"/>
  <c r="AA48" i="72"/>
  <c r="AA273" i="72"/>
  <c r="Y399" i="72"/>
  <c r="Z384" i="72"/>
  <c r="Z396" i="72"/>
  <c r="Z400" i="72"/>
  <c r="Z376" i="72"/>
  <c r="E404" i="72"/>
  <c r="Z366" i="72"/>
  <c r="Z370" i="72"/>
  <c r="Z363" i="72"/>
  <c r="AA23" i="72"/>
  <c r="AA359" i="72"/>
  <c r="AA373" i="72"/>
  <c r="AA148" i="72"/>
  <c r="AA248" i="72"/>
  <c r="AA323" i="72"/>
  <c r="O42" i="75"/>
  <c r="O37" i="75"/>
  <c r="I634" i="72"/>
  <c r="L634" i="72" s="1"/>
  <c r="D404" i="72"/>
  <c r="Z398" i="72"/>
  <c r="K652" i="72"/>
  <c r="N652" i="72" s="1"/>
  <c r="X652" i="72" s="1"/>
  <c r="K643" i="72"/>
  <c r="N643" i="72" s="1"/>
  <c r="X643" i="72" s="1"/>
  <c r="K644" i="72"/>
  <c r="N644" i="72" s="1"/>
  <c r="X644" i="72" s="1"/>
  <c r="J636" i="72"/>
  <c r="M636" i="72" s="1"/>
  <c r="V636" i="72" s="1"/>
  <c r="J649" i="72"/>
  <c r="M649" i="72" s="1"/>
  <c r="V649" i="72" s="1"/>
  <c r="I645" i="72"/>
  <c r="J638" i="72"/>
  <c r="M638" i="72" s="1"/>
  <c r="V638" i="72" s="1"/>
  <c r="Q96" i="72"/>
  <c r="O71" i="72"/>
  <c r="P71" i="72"/>
  <c r="Y397" i="72"/>
  <c r="Y393" i="72"/>
  <c r="U384" i="72"/>
  <c r="Z397" i="72"/>
  <c r="O404" i="72"/>
  <c r="Z386" i="72"/>
  <c r="Z401" i="72"/>
  <c r="C404" i="72"/>
  <c r="I644" i="72"/>
  <c r="K653" i="72"/>
  <c r="N653" i="72" s="1"/>
  <c r="X653" i="72" s="1"/>
  <c r="J653" i="72"/>
  <c r="M653" i="72" s="1"/>
  <c r="V653" i="72" s="1"/>
  <c r="AA123" i="72"/>
  <c r="Q48" i="72"/>
  <c r="P23" i="72"/>
  <c r="O23" i="72"/>
  <c r="AE28" i="72"/>
  <c r="AF27" i="72"/>
  <c r="AG27" i="72" s="1"/>
  <c r="AI27" i="72"/>
  <c r="Q24" i="72" s="1"/>
  <c r="U349" i="72"/>
  <c r="U299" i="72"/>
  <c r="U249" i="72"/>
  <c r="U199" i="72"/>
  <c r="U149" i="72"/>
  <c r="U124" i="72"/>
  <c r="U324" i="72"/>
  <c r="U274" i="72"/>
  <c r="U224" i="72"/>
  <c r="U174" i="72"/>
  <c r="U74" i="72"/>
  <c r="U49" i="72"/>
  <c r="U99" i="72"/>
  <c r="U24" i="72"/>
  <c r="U399" i="72"/>
  <c r="U374" i="72"/>
  <c r="Q120" i="72"/>
  <c r="P95" i="72"/>
  <c r="O95" i="72"/>
  <c r="Z359" i="72"/>
  <c r="E654" i="72"/>
  <c r="K634" i="72"/>
  <c r="K640" i="72"/>
  <c r="N640" i="72" s="1"/>
  <c r="X640" i="72" s="1"/>
  <c r="W398" i="72"/>
  <c r="R648" i="72"/>
  <c r="R273" i="72"/>
  <c r="R298" i="72" s="1"/>
  <c r="R323" i="72" s="1"/>
  <c r="R348" i="72" s="1"/>
  <c r="R373" i="72" s="1"/>
  <c r="R398" i="72" s="1"/>
  <c r="R423" i="72" s="1"/>
  <c r="R448" i="72" s="1"/>
  <c r="R473" i="72" s="1"/>
  <c r="R498" i="72" s="1"/>
  <c r="R523" i="72" s="1"/>
  <c r="R548" i="72" s="1"/>
  <c r="R573" i="72" s="1"/>
  <c r="R598" i="72" s="1"/>
  <c r="R623" i="72" s="1"/>
  <c r="Q72" i="72"/>
  <c r="P47" i="72"/>
  <c r="O47" i="72"/>
  <c r="Z373" i="72"/>
  <c r="K636" i="72"/>
  <c r="N636" i="72" s="1"/>
  <c r="X636" i="72" s="1"/>
  <c r="C379" i="72"/>
  <c r="AA364" i="72"/>
  <c r="I642" i="72"/>
  <c r="L642" i="72" s="1"/>
  <c r="T642" i="72" s="1"/>
  <c r="J650" i="72"/>
  <c r="M650" i="72" s="1"/>
  <c r="V650" i="72" s="1"/>
  <c r="K635" i="72"/>
  <c r="N635" i="72" s="1"/>
  <c r="X635" i="72" s="1"/>
  <c r="AA362" i="72"/>
  <c r="K650" i="72"/>
  <c r="N650" i="72" s="1"/>
  <c r="X650" i="72" s="1"/>
  <c r="I646" i="72"/>
  <c r="L646" i="72" s="1"/>
  <c r="T646" i="72" s="1"/>
  <c r="K642" i="72"/>
  <c r="N642" i="72" s="1"/>
  <c r="X642" i="72" s="1"/>
  <c r="I636" i="72"/>
  <c r="I639" i="72"/>
  <c r="L639" i="72" s="1"/>
  <c r="T639" i="72" s="1"/>
  <c r="P404" i="72"/>
  <c r="K645" i="72"/>
  <c r="N645" i="72" s="1"/>
  <c r="X645" i="72" s="1"/>
  <c r="I647" i="72"/>
  <c r="L647" i="72" s="1"/>
  <c r="T647" i="72" s="1"/>
  <c r="K647" i="72"/>
  <c r="N647" i="72" s="1"/>
  <c r="X647" i="72" s="1"/>
  <c r="J635" i="72"/>
  <c r="M635" i="72" s="1"/>
  <c r="V635" i="72" s="1"/>
  <c r="K637" i="72"/>
  <c r="N637" i="72" s="1"/>
  <c r="X637" i="72" s="1"/>
  <c r="K646" i="72"/>
  <c r="N646" i="72" s="1"/>
  <c r="X646" i="72" s="1"/>
  <c r="K641" i="72"/>
  <c r="N641" i="72" s="1"/>
  <c r="X641" i="72" s="1"/>
  <c r="Z360" i="72"/>
  <c r="S649" i="72"/>
  <c r="S274" i="72"/>
  <c r="S299" i="72" s="1"/>
  <c r="S324" i="72" s="1"/>
  <c r="S349" i="72" s="1"/>
  <c r="S374" i="72" s="1"/>
  <c r="S399" i="72" s="1"/>
  <c r="S424" i="72" s="1"/>
  <c r="S449" i="72" s="1"/>
  <c r="S474" i="72" s="1"/>
  <c r="S499" i="72" s="1"/>
  <c r="S524" i="72" s="1"/>
  <c r="S549" i="72" s="1"/>
  <c r="S574" i="72" s="1"/>
  <c r="S599" i="72" s="1"/>
  <c r="S624" i="72" s="1"/>
  <c r="Z374" i="72"/>
  <c r="C637" i="72"/>
  <c r="C654" i="72" s="1"/>
  <c r="T361" i="72"/>
  <c r="Z361" i="72" s="1"/>
  <c r="U361" i="72"/>
  <c r="AA361" i="72" s="1"/>
  <c r="V379" i="72"/>
  <c r="Z358" i="72"/>
  <c r="Q192" i="72"/>
  <c r="U393" i="72"/>
  <c r="Y391" i="72"/>
  <c r="Y390" i="72"/>
  <c r="W386" i="72"/>
  <c r="Y386" i="72"/>
  <c r="M428" i="72"/>
  <c r="V428" i="72" s="1"/>
  <c r="C428" i="72"/>
  <c r="P427" i="72"/>
  <c r="L427" i="72"/>
  <c r="T427" i="72" s="1"/>
  <c r="O426" i="72"/>
  <c r="E426" i="72"/>
  <c r="N425" i="72"/>
  <c r="X425" i="72" s="1"/>
  <c r="D425" i="72"/>
  <c r="M424" i="72"/>
  <c r="V424" i="72" s="1"/>
  <c r="C424" i="72"/>
  <c r="P423" i="72"/>
  <c r="L423" i="72"/>
  <c r="T423" i="72" s="1"/>
  <c r="O422" i="72"/>
  <c r="E422" i="72"/>
  <c r="N421" i="72"/>
  <c r="X421" i="72" s="1"/>
  <c r="D421" i="72"/>
  <c r="M420" i="72"/>
  <c r="V420" i="72" s="1"/>
  <c r="C420" i="72"/>
  <c r="P419" i="72"/>
  <c r="L419" i="72"/>
  <c r="T419" i="72" s="1"/>
  <c r="O418" i="72"/>
  <c r="E418" i="72"/>
  <c r="N417" i="72"/>
  <c r="X417" i="72" s="1"/>
  <c r="D417" i="72"/>
  <c r="M416" i="72"/>
  <c r="V416" i="72" s="1"/>
  <c r="C416" i="72"/>
  <c r="P415" i="72"/>
  <c r="L415" i="72"/>
  <c r="T415" i="72" s="1"/>
  <c r="O414" i="72"/>
  <c r="E414" i="72"/>
  <c r="N413" i="72"/>
  <c r="X413" i="72" s="1"/>
  <c r="D413" i="72"/>
  <c r="M412" i="72"/>
  <c r="V412" i="72" s="1"/>
  <c r="C412" i="72"/>
  <c r="P411" i="72"/>
  <c r="L411" i="72"/>
  <c r="T411" i="72" s="1"/>
  <c r="O410" i="72"/>
  <c r="E410" i="72"/>
  <c r="N409" i="72"/>
  <c r="X409" i="72" s="1"/>
  <c r="D409" i="72"/>
  <c r="M408" i="72"/>
  <c r="W408" i="72" s="1"/>
  <c r="W429" i="72" s="1"/>
  <c r="P428" i="72"/>
  <c r="L428" i="72"/>
  <c r="T428" i="72" s="1"/>
  <c r="O427" i="72"/>
  <c r="E427" i="72"/>
  <c r="N426" i="72"/>
  <c r="X426" i="72" s="1"/>
  <c r="D426" i="72"/>
  <c r="M425" i="72"/>
  <c r="V425" i="72" s="1"/>
  <c r="C425" i="72"/>
  <c r="P424" i="72"/>
  <c r="L424" i="72"/>
  <c r="T424" i="72" s="1"/>
  <c r="O423" i="72"/>
  <c r="E423" i="72"/>
  <c r="N422" i="72"/>
  <c r="X422" i="72" s="1"/>
  <c r="D422" i="72"/>
  <c r="M421" i="72"/>
  <c r="V421" i="72" s="1"/>
  <c r="C421" i="72"/>
  <c r="P420" i="72"/>
  <c r="L420" i="72"/>
  <c r="T420" i="72" s="1"/>
  <c r="O419" i="72"/>
  <c r="E419" i="72"/>
  <c r="N418" i="72"/>
  <c r="X418" i="72" s="1"/>
  <c r="D418" i="72"/>
  <c r="M417" i="72"/>
  <c r="V417" i="72" s="1"/>
  <c r="C417" i="72"/>
  <c r="P416" i="72"/>
  <c r="L416" i="72"/>
  <c r="T416" i="72" s="1"/>
  <c r="O415" i="72"/>
  <c r="E415" i="72"/>
  <c r="N414" i="72"/>
  <c r="X414" i="72" s="1"/>
  <c r="D414" i="72"/>
  <c r="M413" i="72"/>
  <c r="V413" i="72" s="1"/>
  <c r="C413" i="72"/>
  <c r="P412" i="72"/>
  <c r="L412" i="72"/>
  <c r="T412" i="72" s="1"/>
  <c r="O411" i="72"/>
  <c r="E411" i="72"/>
  <c r="N410" i="72"/>
  <c r="X410" i="72" s="1"/>
  <c r="D410" i="72"/>
  <c r="M409" i="72"/>
  <c r="V409" i="72" s="1"/>
  <c r="C409" i="72"/>
  <c r="P408" i="72"/>
  <c r="L408" i="72"/>
  <c r="O428" i="72"/>
  <c r="E428" i="72"/>
  <c r="N427" i="72"/>
  <c r="X427" i="72" s="1"/>
  <c r="D427" i="72"/>
  <c r="M426" i="72"/>
  <c r="V426" i="72" s="1"/>
  <c r="C426" i="72"/>
  <c r="P425" i="72"/>
  <c r="L425" i="72"/>
  <c r="T425" i="72" s="1"/>
  <c r="O424" i="72"/>
  <c r="E424" i="72"/>
  <c r="N423" i="72"/>
  <c r="X423" i="72" s="1"/>
  <c r="D423" i="72"/>
  <c r="M422" i="72"/>
  <c r="V422" i="72" s="1"/>
  <c r="C422" i="72"/>
  <c r="P421" i="72"/>
  <c r="L421" i="72"/>
  <c r="T421" i="72" s="1"/>
  <c r="O420" i="72"/>
  <c r="E420" i="72"/>
  <c r="N419" i="72"/>
  <c r="X419" i="72" s="1"/>
  <c r="D419" i="72"/>
  <c r="M418" i="72"/>
  <c r="V418" i="72" s="1"/>
  <c r="C418" i="72"/>
  <c r="P417" i="72"/>
  <c r="L417" i="72"/>
  <c r="T417" i="72" s="1"/>
  <c r="O416" i="72"/>
  <c r="E416" i="72"/>
  <c r="N415" i="72"/>
  <c r="X415" i="72" s="1"/>
  <c r="D415" i="72"/>
  <c r="M414" i="72"/>
  <c r="V414" i="72" s="1"/>
  <c r="C414" i="72"/>
  <c r="P413" i="72"/>
  <c r="L413" i="72"/>
  <c r="T413" i="72" s="1"/>
  <c r="O412" i="72"/>
  <c r="E412" i="72"/>
  <c r="N411" i="72"/>
  <c r="X411" i="72" s="1"/>
  <c r="D411" i="72"/>
  <c r="M410" i="72"/>
  <c r="V410" i="72" s="1"/>
  <c r="C410" i="72"/>
  <c r="P409" i="72"/>
  <c r="L409" i="72"/>
  <c r="T409" i="72" s="1"/>
  <c r="O408" i="72"/>
  <c r="A431" i="72"/>
  <c r="D428" i="72"/>
  <c r="M427" i="72"/>
  <c r="V427" i="72" s="1"/>
  <c r="P426" i="72"/>
  <c r="C423" i="72"/>
  <c r="L422" i="72"/>
  <c r="T422" i="72" s="1"/>
  <c r="O421" i="72"/>
  <c r="E417" i="72"/>
  <c r="N416" i="72"/>
  <c r="X416" i="72" s="1"/>
  <c r="D412" i="72"/>
  <c r="M411" i="72"/>
  <c r="V411" i="72" s="1"/>
  <c r="P410" i="72"/>
  <c r="C427" i="72"/>
  <c r="L426" i="72"/>
  <c r="T426" i="72" s="1"/>
  <c r="O425" i="72"/>
  <c r="E421" i="72"/>
  <c r="N420" i="72"/>
  <c r="X420" i="72" s="1"/>
  <c r="D416" i="72"/>
  <c r="M415" i="72"/>
  <c r="V415" i="72" s="1"/>
  <c r="P414" i="72"/>
  <c r="C411" i="72"/>
  <c r="L410" i="72"/>
  <c r="T410" i="72" s="1"/>
  <c r="O409" i="72"/>
  <c r="E425" i="72"/>
  <c r="N424" i="72"/>
  <c r="D420" i="72"/>
  <c r="M419" i="72"/>
  <c r="V419" i="72" s="1"/>
  <c r="P418" i="72"/>
  <c r="C415" i="72"/>
  <c r="L414" i="72"/>
  <c r="T414" i="72" s="1"/>
  <c r="O413" i="72"/>
  <c r="E409" i="72"/>
  <c r="N408" i="72"/>
  <c r="Y408" i="72" s="1"/>
  <c r="Y429" i="72" s="1"/>
  <c r="M423" i="72"/>
  <c r="E413" i="72"/>
  <c r="P422" i="72"/>
  <c r="C419" i="72"/>
  <c r="N412" i="72"/>
  <c r="X412" i="72" s="1"/>
  <c r="N428" i="72"/>
  <c r="X428" i="72" s="1"/>
  <c r="L418" i="72"/>
  <c r="T418" i="72" s="1"/>
  <c r="O417" i="72"/>
  <c r="D424" i="72"/>
  <c r="Z389" i="72"/>
  <c r="Z390" i="72"/>
  <c r="Z385" i="72"/>
  <c r="Z365" i="72"/>
  <c r="AA223" i="72"/>
  <c r="I651" i="72"/>
  <c r="L651" i="72" s="1"/>
  <c r="T651" i="72" s="1"/>
  <c r="I635" i="72"/>
  <c r="I649" i="72"/>
  <c r="L649" i="72" s="1"/>
  <c r="T649" i="72" s="1"/>
  <c r="U397" i="72"/>
  <c r="Y398" i="72"/>
  <c r="J644" i="72"/>
  <c r="M644" i="72" s="1"/>
  <c r="V644" i="72" s="1"/>
  <c r="K648" i="72"/>
  <c r="N648" i="72" s="1"/>
  <c r="X648" i="72" s="1"/>
  <c r="J637" i="72"/>
  <c r="M637" i="72" s="1"/>
  <c r="V637" i="72" s="1"/>
  <c r="I643" i="72"/>
  <c r="L643" i="72" s="1"/>
  <c r="T643" i="72" s="1"/>
  <c r="Z364" i="72"/>
  <c r="K651" i="72"/>
  <c r="N651" i="72" s="1"/>
  <c r="X651" i="72" s="1"/>
  <c r="K638" i="72"/>
  <c r="N638" i="72" s="1"/>
  <c r="X638" i="72" s="1"/>
  <c r="Z377" i="72"/>
  <c r="Z362" i="72"/>
  <c r="J652" i="72"/>
  <c r="M652" i="72" s="1"/>
  <c r="V652" i="72" s="1"/>
  <c r="J640" i="72"/>
  <c r="M640" i="72" s="1"/>
  <c r="V640" i="72" s="1"/>
  <c r="J639" i="72"/>
  <c r="M639" i="72" s="1"/>
  <c r="V639" i="72" s="1"/>
  <c r="D654" i="72"/>
  <c r="J634" i="72"/>
  <c r="M634" i="72" s="1"/>
  <c r="Z402" i="72"/>
  <c r="Q168" i="72"/>
  <c r="O143" i="72"/>
  <c r="P143" i="72"/>
  <c r="J646" i="72"/>
  <c r="M646" i="72" s="1"/>
  <c r="V646" i="72" s="1"/>
  <c r="J648" i="72"/>
  <c r="M648" i="72" s="1"/>
  <c r="V648" i="72" s="1"/>
  <c r="AV28" i="72"/>
  <c r="AW28" i="72" s="1"/>
  <c r="AU29" i="72"/>
  <c r="Y150" i="72"/>
  <c r="Y250" i="72"/>
  <c r="Y225" i="72"/>
  <c r="Y100" i="72"/>
  <c r="Y25" i="72"/>
  <c r="Y75" i="72"/>
  <c r="Y50" i="72"/>
  <c r="Y400" i="72"/>
  <c r="Y125" i="72"/>
  <c r="Y275" i="72"/>
  <c r="Y325" i="72"/>
  <c r="Y300" i="72"/>
  <c r="Y350" i="72"/>
  <c r="AY28" i="72"/>
  <c r="S25" i="72" s="1"/>
  <c r="S50" i="72" s="1"/>
  <c r="S75" i="72" s="1"/>
  <c r="S100" i="72" s="1"/>
  <c r="S125" i="72" s="1"/>
  <c r="S150" i="72" s="1"/>
  <c r="S175" i="72" s="1"/>
  <c r="S200" i="72" s="1"/>
  <c r="S225" i="72" s="1"/>
  <c r="S250" i="72" s="1"/>
  <c r="Y375" i="72"/>
  <c r="Y200" i="72"/>
  <c r="Y175" i="72"/>
  <c r="I650" i="72"/>
  <c r="L650" i="72" s="1"/>
  <c r="T650" i="72" s="1"/>
  <c r="J642" i="72"/>
  <c r="M642" i="72" s="1"/>
  <c r="V642" i="72" s="1"/>
  <c r="E380" i="72"/>
  <c r="Q216" i="72"/>
  <c r="Y392" i="72"/>
  <c r="Y385" i="72"/>
  <c r="X383" i="72"/>
  <c r="X404" i="72" s="1"/>
  <c r="N404" i="72"/>
  <c r="N405" i="72" s="1"/>
  <c r="Z394" i="72"/>
  <c r="Z388" i="72"/>
  <c r="V383" i="72"/>
  <c r="V404" i="72" s="1"/>
  <c r="M404" i="72"/>
  <c r="M405" i="72" s="1"/>
  <c r="Z392" i="72"/>
  <c r="L404" i="72"/>
  <c r="L405" i="72" s="1"/>
  <c r="T383" i="72"/>
  <c r="Z387" i="72"/>
  <c r="Z391" i="72"/>
  <c r="Z395" i="72"/>
  <c r="Z399" i="72"/>
  <c r="Z403" i="72"/>
  <c r="J641" i="72"/>
  <c r="M641" i="72" s="1"/>
  <c r="V641" i="72" s="1"/>
  <c r="I641" i="72"/>
  <c r="Q144" i="72"/>
  <c r="P119" i="72"/>
  <c r="O119" i="72"/>
  <c r="U398" i="72"/>
  <c r="X379" i="72"/>
  <c r="I652" i="72"/>
  <c r="L652" i="72" s="1"/>
  <c r="T652" i="72" s="1"/>
  <c r="I648" i="72"/>
  <c r="L648" i="72" s="1"/>
  <c r="T648" i="72" s="1"/>
  <c r="AN27" i="72"/>
  <c r="AO27" i="72" s="1"/>
  <c r="W24" i="72"/>
  <c r="AM28" i="72"/>
  <c r="W224" i="72"/>
  <c r="W174" i="72"/>
  <c r="W99" i="72"/>
  <c r="W399" i="72"/>
  <c r="W374" i="72"/>
  <c r="W249" i="72"/>
  <c r="W199" i="72"/>
  <c r="W149" i="72"/>
  <c r="W324" i="72"/>
  <c r="W274" i="72"/>
  <c r="W299" i="72"/>
  <c r="W49" i="72"/>
  <c r="W349" i="72"/>
  <c r="AQ27" i="72"/>
  <c r="R24" i="72" s="1"/>
  <c r="R49" i="72" s="1"/>
  <c r="R74" i="72" s="1"/>
  <c r="R99" i="72" s="1"/>
  <c r="R124" i="72" s="1"/>
  <c r="R149" i="72" s="1"/>
  <c r="R174" i="72" s="1"/>
  <c r="R199" i="72" s="1"/>
  <c r="R224" i="72" s="1"/>
  <c r="R249" i="72" s="1"/>
  <c r="W124" i="72"/>
  <c r="W74" i="72"/>
  <c r="K649" i="72"/>
  <c r="N649" i="72" s="1"/>
  <c r="X649" i="72" s="1"/>
  <c r="W397" i="72"/>
  <c r="I640" i="72"/>
  <c r="L640" i="72" s="1"/>
  <c r="T640" i="72" s="1"/>
  <c r="J645" i="72"/>
  <c r="M645" i="72" s="1"/>
  <c r="V645" i="72" s="1"/>
  <c r="J643" i="72"/>
  <c r="M643" i="72" s="1"/>
  <c r="V643" i="72" s="1"/>
  <c r="I653" i="72"/>
  <c r="L653" i="72" s="1"/>
  <c r="T653" i="72" s="1"/>
  <c r="I638" i="72"/>
  <c r="L638" i="72" s="1"/>
  <c r="T638" i="72" s="1"/>
  <c r="AA370" i="72"/>
  <c r="K639" i="72"/>
  <c r="N639" i="72" s="1"/>
  <c r="X639" i="72" s="1"/>
  <c r="AA360" i="72"/>
  <c r="J651" i="72"/>
  <c r="M651" i="72" s="1"/>
  <c r="V651" i="72" s="1"/>
  <c r="AA363" i="72"/>
  <c r="J647" i="72"/>
  <c r="M647" i="72" s="1"/>
  <c r="V647" i="72" s="1"/>
  <c r="U404" i="72" l="1"/>
  <c r="Y414" i="72"/>
  <c r="U414" i="72"/>
  <c r="R167" i="72"/>
  <c r="O142" i="72"/>
  <c r="P142" i="72"/>
  <c r="W412" i="72"/>
  <c r="AA392" i="72"/>
  <c r="AA394" i="72"/>
  <c r="Y420" i="72"/>
  <c r="U408" i="72"/>
  <c r="AA408" i="72" s="1"/>
  <c r="AA429" i="72" s="1"/>
  <c r="U415" i="72"/>
  <c r="Y412" i="72"/>
  <c r="Y409" i="72"/>
  <c r="U413" i="72"/>
  <c r="Y410" i="72"/>
  <c r="AA388" i="72"/>
  <c r="AA391" i="72"/>
  <c r="O190" i="72"/>
  <c r="Q215" i="72"/>
  <c r="P190" i="72"/>
  <c r="AA387" i="72"/>
  <c r="AA389" i="72"/>
  <c r="P188" i="72"/>
  <c r="O188" i="72"/>
  <c r="Q213" i="72"/>
  <c r="Q211" i="72"/>
  <c r="O186" i="72"/>
  <c r="P186" i="72"/>
  <c r="P184" i="72"/>
  <c r="O184" i="72"/>
  <c r="Q209" i="72"/>
  <c r="Q210" i="72"/>
  <c r="P185" i="72"/>
  <c r="O185" i="72"/>
  <c r="Q214" i="72"/>
  <c r="O189" i="72"/>
  <c r="P189" i="72"/>
  <c r="Q208" i="72"/>
  <c r="P183" i="72"/>
  <c r="O183" i="72"/>
  <c r="Q212" i="72"/>
  <c r="O187" i="72"/>
  <c r="P187" i="72"/>
  <c r="R191" i="72"/>
  <c r="P166" i="72"/>
  <c r="O166" i="72"/>
  <c r="AA396" i="72"/>
  <c r="W417" i="72"/>
  <c r="W414" i="72"/>
  <c r="W410" i="72"/>
  <c r="AA384" i="72"/>
  <c r="U417" i="72"/>
  <c r="W413" i="72"/>
  <c r="U411" i="72"/>
  <c r="Y416" i="72"/>
  <c r="W420" i="72"/>
  <c r="U419" i="72"/>
  <c r="W416" i="72"/>
  <c r="AA390" i="72"/>
  <c r="W422" i="72"/>
  <c r="AA395" i="72"/>
  <c r="W421" i="72"/>
  <c r="W418" i="72"/>
  <c r="U418" i="72"/>
  <c r="Y423" i="72"/>
  <c r="AA385" i="72"/>
  <c r="U422" i="72"/>
  <c r="Y415" i="72"/>
  <c r="Y411" i="72"/>
  <c r="Y422" i="72"/>
  <c r="U410" i="72"/>
  <c r="Z418" i="72"/>
  <c r="Y419" i="72"/>
  <c r="Y418" i="72"/>
  <c r="P42" i="75"/>
  <c r="Z409" i="72"/>
  <c r="Z413" i="72"/>
  <c r="Z417" i="72"/>
  <c r="Z421" i="72"/>
  <c r="Z425" i="72"/>
  <c r="T379" i="72"/>
  <c r="W424" i="72"/>
  <c r="Z416" i="72"/>
  <c r="Z420" i="72"/>
  <c r="Z412" i="72"/>
  <c r="AA393" i="72"/>
  <c r="Z640" i="72"/>
  <c r="Z652" i="72"/>
  <c r="AA397" i="72"/>
  <c r="AA386" i="72"/>
  <c r="L636" i="72"/>
  <c r="T636" i="72" s="1"/>
  <c r="Z636" i="72" s="1"/>
  <c r="AA374" i="72"/>
  <c r="AA74" i="72"/>
  <c r="AA324" i="72"/>
  <c r="Z638" i="72"/>
  <c r="Z647" i="72"/>
  <c r="Z646" i="72"/>
  <c r="K654" i="72"/>
  <c r="AA349" i="72"/>
  <c r="O24" i="72"/>
  <c r="P24" i="72"/>
  <c r="Q49" i="72"/>
  <c r="Z653" i="72"/>
  <c r="S650" i="72"/>
  <c r="S275" i="72"/>
  <c r="S300" i="72" s="1"/>
  <c r="S325" i="72" s="1"/>
  <c r="S350" i="72" s="1"/>
  <c r="S375" i="72" s="1"/>
  <c r="S400" i="72" s="1"/>
  <c r="S425" i="72" s="1"/>
  <c r="S450" i="72" s="1"/>
  <c r="S475" i="72" s="1"/>
  <c r="S500" i="72" s="1"/>
  <c r="S525" i="72" s="1"/>
  <c r="S550" i="72" s="1"/>
  <c r="S575" i="72" s="1"/>
  <c r="S600" i="72" s="1"/>
  <c r="S625" i="72" s="1"/>
  <c r="V634" i="72"/>
  <c r="V654" i="72" s="1"/>
  <c r="M654" i="72"/>
  <c r="Z643" i="72"/>
  <c r="Z649" i="72"/>
  <c r="Z651" i="72"/>
  <c r="U420" i="72"/>
  <c r="W419" i="72"/>
  <c r="W415" i="72"/>
  <c r="V423" i="72"/>
  <c r="Z423" i="72" s="1"/>
  <c r="W423" i="72"/>
  <c r="Z414" i="72"/>
  <c r="Z410" i="72"/>
  <c r="Z426" i="72"/>
  <c r="Z422" i="72"/>
  <c r="P429" i="72"/>
  <c r="Z639" i="72"/>
  <c r="Q97" i="72"/>
  <c r="P72" i="72"/>
  <c r="O72" i="72"/>
  <c r="Q145" i="72"/>
  <c r="P120" i="72"/>
  <c r="O120" i="72"/>
  <c r="AA399" i="72"/>
  <c r="AA24" i="72"/>
  <c r="AA174" i="72"/>
  <c r="AA199" i="72"/>
  <c r="Q73" i="72"/>
  <c r="O48" i="72"/>
  <c r="P48" i="72"/>
  <c r="U423" i="72"/>
  <c r="T404" i="72"/>
  <c r="Z383" i="72"/>
  <c r="Z404" i="72" s="1"/>
  <c r="Z428" i="72"/>
  <c r="Z642" i="72"/>
  <c r="AA149" i="72"/>
  <c r="T634" i="72"/>
  <c r="E405" i="72"/>
  <c r="Q169" i="72"/>
  <c r="P144" i="72"/>
  <c r="O144" i="72"/>
  <c r="Q241" i="72"/>
  <c r="Y425" i="72"/>
  <c r="J654" i="72"/>
  <c r="U421" i="72"/>
  <c r="Y421" i="72"/>
  <c r="U416" i="72"/>
  <c r="Y413" i="72"/>
  <c r="W411" i="72"/>
  <c r="W409" i="72"/>
  <c r="X408" i="72"/>
  <c r="N429" i="72"/>
  <c r="N430" i="72" s="1"/>
  <c r="X424" i="72"/>
  <c r="Z424" i="72" s="1"/>
  <c r="Y424" i="72"/>
  <c r="M453" i="72"/>
  <c r="V453" i="72" s="1"/>
  <c r="C453" i="72"/>
  <c r="P452" i="72"/>
  <c r="L452" i="72"/>
  <c r="T452" i="72" s="1"/>
  <c r="O451" i="72"/>
  <c r="E451" i="72"/>
  <c r="N450" i="72"/>
  <c r="D450" i="72"/>
  <c r="M449" i="72"/>
  <c r="C449" i="72"/>
  <c r="P448" i="72"/>
  <c r="L448" i="72"/>
  <c r="T448" i="72" s="1"/>
  <c r="O447" i="72"/>
  <c r="E447" i="72"/>
  <c r="N446" i="72"/>
  <c r="X446" i="72" s="1"/>
  <c r="D446" i="72"/>
  <c r="M445" i="72"/>
  <c r="V445" i="72" s="1"/>
  <c r="C445" i="72"/>
  <c r="P444" i="72"/>
  <c r="L444" i="72"/>
  <c r="T444" i="72" s="1"/>
  <c r="O443" i="72"/>
  <c r="E443" i="72"/>
  <c r="N442" i="72"/>
  <c r="X442" i="72" s="1"/>
  <c r="D442" i="72"/>
  <c r="M441" i="72"/>
  <c r="V441" i="72" s="1"/>
  <c r="C441" i="72"/>
  <c r="P440" i="72"/>
  <c r="L440" i="72"/>
  <c r="T440" i="72" s="1"/>
  <c r="O439" i="72"/>
  <c r="E439" i="72"/>
  <c r="N438" i="72"/>
  <c r="X438" i="72" s="1"/>
  <c r="D438" i="72"/>
  <c r="M437" i="72"/>
  <c r="V437" i="72" s="1"/>
  <c r="C437" i="72"/>
  <c r="P436" i="72"/>
  <c r="L436" i="72"/>
  <c r="T436" i="72" s="1"/>
  <c r="O435" i="72"/>
  <c r="E435" i="72"/>
  <c r="N434" i="72"/>
  <c r="X434" i="72" s="1"/>
  <c r="D434" i="72"/>
  <c r="M433" i="72"/>
  <c r="W433" i="72" s="1"/>
  <c r="W454" i="72" s="1"/>
  <c r="P453" i="72"/>
  <c r="L453" i="72"/>
  <c r="T453" i="72" s="1"/>
  <c r="O452" i="72"/>
  <c r="E452" i="72"/>
  <c r="N451" i="72"/>
  <c r="X451" i="72" s="1"/>
  <c r="D451" i="72"/>
  <c r="M450" i="72"/>
  <c r="V450" i="72" s="1"/>
  <c r="C450" i="72"/>
  <c r="P449" i="72"/>
  <c r="L449" i="72"/>
  <c r="T449" i="72" s="1"/>
  <c r="O448" i="72"/>
  <c r="E448" i="72"/>
  <c r="N447" i="72"/>
  <c r="X447" i="72" s="1"/>
  <c r="D447" i="72"/>
  <c r="M446" i="72"/>
  <c r="V446" i="72" s="1"/>
  <c r="C446" i="72"/>
  <c r="P445" i="72"/>
  <c r="L445" i="72"/>
  <c r="T445" i="72" s="1"/>
  <c r="O444" i="72"/>
  <c r="E444" i="72"/>
  <c r="N443" i="72"/>
  <c r="X443" i="72" s="1"/>
  <c r="D443" i="72"/>
  <c r="M442" i="72"/>
  <c r="V442" i="72" s="1"/>
  <c r="C442" i="72"/>
  <c r="P441" i="72"/>
  <c r="L441" i="72"/>
  <c r="T441" i="72" s="1"/>
  <c r="O440" i="72"/>
  <c r="E440" i="72"/>
  <c r="N439" i="72"/>
  <c r="X439" i="72" s="1"/>
  <c r="D439" i="72"/>
  <c r="M438" i="72"/>
  <c r="V438" i="72" s="1"/>
  <c r="C438" i="72"/>
  <c r="P437" i="72"/>
  <c r="L437" i="72"/>
  <c r="T437" i="72" s="1"/>
  <c r="O436" i="72"/>
  <c r="E436" i="72"/>
  <c r="N435" i="72"/>
  <c r="X435" i="72" s="1"/>
  <c r="D435" i="72"/>
  <c r="M434" i="72"/>
  <c r="V434" i="72" s="1"/>
  <c r="C434" i="72"/>
  <c r="P433" i="72"/>
  <c r="L433" i="72"/>
  <c r="O453" i="72"/>
  <c r="E453" i="72"/>
  <c r="N452" i="72"/>
  <c r="X452" i="72" s="1"/>
  <c r="D452" i="72"/>
  <c r="M451" i="72"/>
  <c r="V451" i="72" s="1"/>
  <c r="C451" i="72"/>
  <c r="P450" i="72"/>
  <c r="L450" i="72"/>
  <c r="T450" i="72" s="1"/>
  <c r="O449" i="72"/>
  <c r="E449" i="72"/>
  <c r="N448" i="72"/>
  <c r="X448" i="72" s="1"/>
  <c r="D448" i="72"/>
  <c r="M447" i="72"/>
  <c r="V447" i="72" s="1"/>
  <c r="C447" i="72"/>
  <c r="P446" i="72"/>
  <c r="L446" i="72"/>
  <c r="T446" i="72" s="1"/>
  <c r="O445" i="72"/>
  <c r="E445" i="72"/>
  <c r="N444" i="72"/>
  <c r="X444" i="72" s="1"/>
  <c r="D444" i="72"/>
  <c r="M443" i="72"/>
  <c r="V443" i="72" s="1"/>
  <c r="C443" i="72"/>
  <c r="P442" i="72"/>
  <c r="L442" i="72"/>
  <c r="T442" i="72" s="1"/>
  <c r="O441" i="72"/>
  <c r="E441" i="72"/>
  <c r="N440" i="72"/>
  <c r="X440" i="72" s="1"/>
  <c r="D440" i="72"/>
  <c r="M439" i="72"/>
  <c r="V439" i="72" s="1"/>
  <c r="C439" i="72"/>
  <c r="P438" i="72"/>
  <c r="L438" i="72"/>
  <c r="T438" i="72" s="1"/>
  <c r="O437" i="72"/>
  <c r="E437" i="72"/>
  <c r="N436" i="72"/>
  <c r="X436" i="72" s="1"/>
  <c r="D436" i="72"/>
  <c r="M435" i="72"/>
  <c r="V435" i="72" s="1"/>
  <c r="C435" i="72"/>
  <c r="P434" i="72"/>
  <c r="L434" i="72"/>
  <c r="T434" i="72" s="1"/>
  <c r="O433" i="72"/>
  <c r="N453" i="72"/>
  <c r="X453" i="72" s="1"/>
  <c r="D449" i="72"/>
  <c r="M448" i="72"/>
  <c r="V448" i="72" s="1"/>
  <c r="P447" i="72"/>
  <c r="C444" i="72"/>
  <c r="L443" i="72"/>
  <c r="T443" i="72" s="1"/>
  <c r="O442" i="72"/>
  <c r="E438" i="72"/>
  <c r="N437" i="72"/>
  <c r="X437" i="72" s="1"/>
  <c r="A456" i="72"/>
  <c r="D453" i="72"/>
  <c r="M452" i="72"/>
  <c r="V452" i="72" s="1"/>
  <c r="P451" i="72"/>
  <c r="C448" i="72"/>
  <c r="L447" i="72"/>
  <c r="T447" i="72" s="1"/>
  <c r="O446" i="72"/>
  <c r="E442" i="72"/>
  <c r="N441" i="72"/>
  <c r="X441" i="72" s="1"/>
  <c r="D437" i="72"/>
  <c r="M436" i="72"/>
  <c r="V436" i="72" s="1"/>
  <c r="P435" i="72"/>
  <c r="C452" i="72"/>
  <c r="L451" i="72"/>
  <c r="T451" i="72" s="1"/>
  <c r="O450" i="72"/>
  <c r="E446" i="72"/>
  <c r="N445" i="72"/>
  <c r="X445" i="72" s="1"/>
  <c r="D441" i="72"/>
  <c r="M440" i="72"/>
  <c r="V440" i="72" s="1"/>
  <c r="P439" i="72"/>
  <c r="C436" i="72"/>
  <c r="L435" i="72"/>
  <c r="T435" i="72" s="1"/>
  <c r="O434" i="72"/>
  <c r="M444" i="72"/>
  <c r="V444" i="72" s="1"/>
  <c r="E434" i="72"/>
  <c r="E450" i="72"/>
  <c r="P443" i="72"/>
  <c r="C440" i="72"/>
  <c r="N433" i="72"/>
  <c r="Y433" i="72" s="1"/>
  <c r="Y454" i="72" s="1"/>
  <c r="N449" i="72"/>
  <c r="X449" i="72" s="1"/>
  <c r="L439" i="72"/>
  <c r="T439" i="72" s="1"/>
  <c r="O438" i="72"/>
  <c r="D445" i="72"/>
  <c r="U442" i="72"/>
  <c r="C429" i="72"/>
  <c r="M429" i="72"/>
  <c r="M430" i="72" s="1"/>
  <c r="V408" i="72"/>
  <c r="Q217" i="72"/>
  <c r="Z379" i="72"/>
  <c r="Q5" i="77" s="1"/>
  <c r="U424" i="72"/>
  <c r="AA99" i="72"/>
  <c r="AA224" i="72"/>
  <c r="AA249" i="72"/>
  <c r="AF28" i="72"/>
  <c r="AG28" i="72" s="1"/>
  <c r="U100" i="72"/>
  <c r="AE29" i="72"/>
  <c r="U150" i="72"/>
  <c r="U25" i="72"/>
  <c r="U75" i="72"/>
  <c r="U50" i="72"/>
  <c r="U400" i="72"/>
  <c r="U325" i="72"/>
  <c r="U275" i="72"/>
  <c r="U250" i="72"/>
  <c r="U350" i="72"/>
  <c r="U300" i="72"/>
  <c r="U125" i="72"/>
  <c r="U425" i="72"/>
  <c r="U375" i="72"/>
  <c r="U225" i="72"/>
  <c r="AI28" i="72"/>
  <c r="Q25" i="72" s="1"/>
  <c r="U200" i="72"/>
  <c r="U175" i="72"/>
  <c r="L644" i="72"/>
  <c r="T644" i="72" s="1"/>
  <c r="Z644" i="72" s="1"/>
  <c r="L429" i="72"/>
  <c r="L430" i="72" s="1"/>
  <c r="T408" i="72"/>
  <c r="R649" i="72"/>
  <c r="R274" i="72"/>
  <c r="R299" i="72" s="1"/>
  <c r="R324" i="72" s="1"/>
  <c r="R349" i="72" s="1"/>
  <c r="R374" i="72" s="1"/>
  <c r="R399" i="72" s="1"/>
  <c r="R424" i="72" s="1"/>
  <c r="R449" i="72" s="1"/>
  <c r="R474" i="72" s="1"/>
  <c r="R499" i="72" s="1"/>
  <c r="R524" i="72" s="1"/>
  <c r="R549" i="72" s="1"/>
  <c r="R574" i="72" s="1"/>
  <c r="R599" i="72" s="1"/>
  <c r="R624" i="72" s="1"/>
  <c r="AN28" i="72"/>
  <c r="AO28" i="72" s="1"/>
  <c r="AM29" i="72"/>
  <c r="AQ28" i="72"/>
  <c r="R25" i="72" s="1"/>
  <c r="R50" i="72" s="1"/>
  <c r="R75" i="72" s="1"/>
  <c r="R100" i="72" s="1"/>
  <c r="R125" i="72" s="1"/>
  <c r="R150" i="72" s="1"/>
  <c r="R175" i="72" s="1"/>
  <c r="R200" i="72" s="1"/>
  <c r="R225" i="72" s="1"/>
  <c r="R250" i="72" s="1"/>
  <c r="W300" i="72"/>
  <c r="W225" i="72"/>
  <c r="W125" i="72"/>
  <c r="W25" i="72"/>
  <c r="W100" i="72"/>
  <c r="W350" i="72"/>
  <c r="W425" i="72"/>
  <c r="W175" i="72"/>
  <c r="W375" i="72"/>
  <c r="W275" i="72"/>
  <c r="W200" i="72"/>
  <c r="W400" i="72"/>
  <c r="W75" i="72"/>
  <c r="W50" i="72"/>
  <c r="W250" i="72"/>
  <c r="W325" i="72"/>
  <c r="W150" i="72"/>
  <c r="Z648" i="72"/>
  <c r="AA398" i="72"/>
  <c r="L641" i="72"/>
  <c r="T641" i="72" s="1"/>
  <c r="Z641" i="72" s="1"/>
  <c r="Z650" i="72"/>
  <c r="AV29" i="72"/>
  <c r="AW29" i="72" s="1"/>
  <c r="Y126" i="72"/>
  <c r="AU30" i="72"/>
  <c r="Y276" i="72"/>
  <c r="Y226" i="72"/>
  <c r="Y426" i="72"/>
  <c r="Y326" i="72"/>
  <c r="Y176" i="72"/>
  <c r="Y101" i="72"/>
  <c r="Y26" i="72"/>
  <c r="AY29" i="72"/>
  <c r="S26" i="72" s="1"/>
  <c r="S51" i="72" s="1"/>
  <c r="S76" i="72" s="1"/>
  <c r="S101" i="72" s="1"/>
  <c r="S126" i="72" s="1"/>
  <c r="S151" i="72" s="1"/>
  <c r="S176" i="72" s="1"/>
  <c r="S201" i="72" s="1"/>
  <c r="S226" i="72" s="1"/>
  <c r="S251" i="72" s="1"/>
  <c r="Y376" i="72"/>
  <c r="Y351" i="72"/>
  <c r="Y201" i="72"/>
  <c r="Y51" i="72"/>
  <c r="Y76" i="72"/>
  <c r="Y301" i="72"/>
  <c r="Y401" i="72"/>
  <c r="Y251" i="72"/>
  <c r="Y151" i="72"/>
  <c r="Q193" i="72"/>
  <c r="O168" i="72"/>
  <c r="P168" i="72"/>
  <c r="L635" i="72"/>
  <c r="T635" i="72" s="1"/>
  <c r="Z635" i="72" s="1"/>
  <c r="Y417" i="72"/>
  <c r="U412" i="72"/>
  <c r="U409" i="72"/>
  <c r="E429" i="72"/>
  <c r="O429" i="72"/>
  <c r="D429" i="72"/>
  <c r="Z411" i="72"/>
  <c r="Z415" i="72"/>
  <c r="Z419" i="72"/>
  <c r="Z427" i="72"/>
  <c r="I637" i="72"/>
  <c r="N634" i="72"/>
  <c r="AA49" i="72"/>
  <c r="AA274" i="72"/>
  <c r="AA124" i="72"/>
  <c r="AA299" i="72"/>
  <c r="Q121" i="72"/>
  <c r="O96" i="72"/>
  <c r="P96" i="72"/>
  <c r="L645" i="72"/>
  <c r="T645" i="72" s="1"/>
  <c r="Z645" i="72" s="1"/>
  <c r="AA414" i="72" l="1"/>
  <c r="R192" i="72"/>
  <c r="O167" i="72"/>
  <c r="P167" i="72"/>
  <c r="U429" i="72"/>
  <c r="AA410" i="72"/>
  <c r="Y436" i="72"/>
  <c r="U443" i="72"/>
  <c r="AA412" i="72"/>
  <c r="U433" i="72"/>
  <c r="U454" i="72" s="1"/>
  <c r="W440" i="72"/>
  <c r="W435" i="72"/>
  <c r="W446" i="72"/>
  <c r="Y446" i="72"/>
  <c r="U436" i="72"/>
  <c r="W439" i="72"/>
  <c r="W436" i="72"/>
  <c r="U448" i="72"/>
  <c r="U444" i="72"/>
  <c r="W442" i="72"/>
  <c r="U438" i="72"/>
  <c r="W434" i="72"/>
  <c r="W447" i="72"/>
  <c r="W443" i="72"/>
  <c r="U440" i="72"/>
  <c r="W438" i="72"/>
  <c r="Y434" i="72"/>
  <c r="Y442" i="72"/>
  <c r="U439" i="72"/>
  <c r="Y438" i="72"/>
  <c r="U435" i="72"/>
  <c r="U441" i="72"/>
  <c r="U437" i="72"/>
  <c r="U434" i="72"/>
  <c r="AA417" i="72"/>
  <c r="AA420" i="72"/>
  <c r="AA415" i="72"/>
  <c r="R216" i="72"/>
  <c r="P191" i="72"/>
  <c r="O191" i="72"/>
  <c r="Q235" i="72"/>
  <c r="P210" i="72"/>
  <c r="O210" i="72"/>
  <c r="Q237" i="72"/>
  <c r="P212" i="72"/>
  <c r="O212" i="72"/>
  <c r="O213" i="72"/>
  <c r="P213" i="72"/>
  <c r="Q238" i="72"/>
  <c r="AA413" i="72"/>
  <c r="P214" i="72"/>
  <c r="O214" i="72"/>
  <c r="Q239" i="72"/>
  <c r="Q234" i="72"/>
  <c r="P209" i="72"/>
  <c r="O209" i="72"/>
  <c r="O215" i="72"/>
  <c r="P215" i="72"/>
  <c r="Q240" i="72"/>
  <c r="Q233" i="72"/>
  <c r="O208" i="72"/>
  <c r="P208" i="72"/>
  <c r="P211" i="72"/>
  <c r="O211" i="72"/>
  <c r="Q236" i="72"/>
  <c r="Y440" i="72"/>
  <c r="AA416" i="72"/>
  <c r="Y441" i="72"/>
  <c r="Y439" i="72"/>
  <c r="Z439" i="72"/>
  <c r="Y451" i="72"/>
  <c r="Y445" i="72"/>
  <c r="Y435" i="72"/>
  <c r="Y443" i="72"/>
  <c r="AA418" i="72"/>
  <c r="Y444" i="72"/>
  <c r="U449" i="72"/>
  <c r="U446" i="72"/>
  <c r="U445" i="72"/>
  <c r="U447" i="72"/>
  <c r="Y449" i="72"/>
  <c r="Y447" i="72"/>
  <c r="AA422" i="72"/>
  <c r="U450" i="72"/>
  <c r="W448" i="72"/>
  <c r="Y448" i="72"/>
  <c r="W450" i="72"/>
  <c r="AA419" i="72"/>
  <c r="AA411" i="72"/>
  <c r="Y437" i="72"/>
  <c r="E430" i="72"/>
  <c r="W441" i="72"/>
  <c r="AA424" i="72"/>
  <c r="Z435" i="72"/>
  <c r="Z451" i="72"/>
  <c r="Z447" i="72"/>
  <c r="Z434" i="72"/>
  <c r="Z438" i="72"/>
  <c r="Z442" i="72"/>
  <c r="Z446" i="72"/>
  <c r="X429" i="72"/>
  <c r="AA409" i="72"/>
  <c r="AA325" i="72"/>
  <c r="AA200" i="72"/>
  <c r="AA350" i="72"/>
  <c r="Q194" i="72"/>
  <c r="O169" i="72"/>
  <c r="P169" i="72"/>
  <c r="Q122" i="72"/>
  <c r="P97" i="72"/>
  <c r="O97" i="72"/>
  <c r="AU31" i="72"/>
  <c r="AV30" i="72"/>
  <c r="AW30" i="72" s="1"/>
  <c r="AY30" i="72"/>
  <c r="S27" i="72" s="1"/>
  <c r="S52" i="72" s="1"/>
  <c r="S77" i="72" s="1"/>
  <c r="S102" i="72" s="1"/>
  <c r="S127" i="72" s="1"/>
  <c r="S152" i="72" s="1"/>
  <c r="S177" i="72" s="1"/>
  <c r="S202" i="72" s="1"/>
  <c r="S227" i="72" s="1"/>
  <c r="S252" i="72" s="1"/>
  <c r="Y27" i="72"/>
  <c r="Y302" i="72"/>
  <c r="Y452" i="72"/>
  <c r="Y177" i="72"/>
  <c r="Y102" i="72"/>
  <c r="Y352" i="72"/>
  <c r="Y377" i="72"/>
  <c r="Y227" i="72"/>
  <c r="Y127" i="72"/>
  <c r="Y52" i="72"/>
  <c r="Y77" i="72"/>
  <c r="Y402" i="72"/>
  <c r="Y277" i="72"/>
  <c r="Y252" i="72"/>
  <c r="Y152" i="72"/>
  <c r="Y427" i="72"/>
  <c r="Y202" i="72"/>
  <c r="Y327" i="72"/>
  <c r="P25" i="72"/>
  <c r="O25" i="72"/>
  <c r="Q50" i="72"/>
  <c r="AA400" i="72"/>
  <c r="AA50" i="72"/>
  <c r="AF29" i="72"/>
  <c r="AG29" i="72" s="1"/>
  <c r="AE30" i="72"/>
  <c r="U326" i="72"/>
  <c r="U176" i="72"/>
  <c r="U26" i="72"/>
  <c r="U126" i="72"/>
  <c r="U51" i="72"/>
  <c r="U76" i="72"/>
  <c r="U426" i="72"/>
  <c r="U276" i="72"/>
  <c r="U226" i="72"/>
  <c r="U376" i="72"/>
  <c r="U401" i="72"/>
  <c r="U351" i="72"/>
  <c r="U201" i="72"/>
  <c r="U451" i="72"/>
  <c r="U301" i="72"/>
  <c r="U251" i="72"/>
  <c r="U151" i="72"/>
  <c r="U101" i="72"/>
  <c r="AI29" i="72"/>
  <c r="Q26" i="72" s="1"/>
  <c r="W445" i="72"/>
  <c r="W437" i="72"/>
  <c r="O454" i="72"/>
  <c r="D454" i="72"/>
  <c r="Z436" i="72"/>
  <c r="Z440" i="72"/>
  <c r="Z444" i="72"/>
  <c r="Z448" i="72"/>
  <c r="Z452" i="72"/>
  <c r="Q641" i="72"/>
  <c r="Q266" i="72"/>
  <c r="Q170" i="72"/>
  <c r="P145" i="72"/>
  <c r="O145" i="72"/>
  <c r="Q74" i="72"/>
  <c r="P49" i="72"/>
  <c r="O49" i="72"/>
  <c r="AA150" i="72"/>
  <c r="Q218" i="72"/>
  <c r="O193" i="72"/>
  <c r="P193" i="72"/>
  <c r="R650" i="72"/>
  <c r="R275" i="72"/>
  <c r="R300" i="72" s="1"/>
  <c r="R325" i="72" s="1"/>
  <c r="R350" i="72" s="1"/>
  <c r="R375" i="72" s="1"/>
  <c r="R400" i="72" s="1"/>
  <c r="R425" i="72" s="1"/>
  <c r="R450" i="72" s="1"/>
  <c r="R475" i="72" s="1"/>
  <c r="R500" i="72" s="1"/>
  <c r="R525" i="72" s="1"/>
  <c r="R550" i="72" s="1"/>
  <c r="R575" i="72" s="1"/>
  <c r="R600" i="72" s="1"/>
  <c r="R625" i="72" s="1"/>
  <c r="AA225" i="72"/>
  <c r="AA425" i="72"/>
  <c r="AA125" i="72"/>
  <c r="AA250" i="72"/>
  <c r="AA75" i="72"/>
  <c r="AA100" i="72"/>
  <c r="Q242" i="72"/>
  <c r="L454" i="72"/>
  <c r="L455" i="72" s="1"/>
  <c r="T433" i="72"/>
  <c r="Z437" i="72"/>
  <c r="Z441" i="72"/>
  <c r="Z445" i="72"/>
  <c r="Z453" i="72"/>
  <c r="X450" i="72"/>
  <c r="Z450" i="72" s="1"/>
  <c r="Y450" i="72"/>
  <c r="AA421" i="72"/>
  <c r="AA423" i="72"/>
  <c r="Q98" i="72"/>
  <c r="P73" i="72"/>
  <c r="O73" i="72"/>
  <c r="S651" i="72"/>
  <c r="S276" i="72"/>
  <c r="S301" i="72" s="1"/>
  <c r="S326" i="72" s="1"/>
  <c r="S351" i="72" s="1"/>
  <c r="S376" i="72" s="1"/>
  <c r="S401" i="72" s="1"/>
  <c r="S426" i="72" s="1"/>
  <c r="S451" i="72" s="1"/>
  <c r="S476" i="72" s="1"/>
  <c r="S501" i="72" s="1"/>
  <c r="S526" i="72" s="1"/>
  <c r="S551" i="72" s="1"/>
  <c r="S576" i="72" s="1"/>
  <c r="S601" i="72" s="1"/>
  <c r="S626" i="72" s="1"/>
  <c r="C454" i="72"/>
  <c r="M454" i="72"/>
  <c r="M455" i="72" s="1"/>
  <c r="V433" i="72"/>
  <c r="V449" i="72"/>
  <c r="Z449" i="72" s="1"/>
  <c r="W449" i="72"/>
  <c r="I654" i="72"/>
  <c r="Q146" i="72"/>
  <c r="O121" i="72"/>
  <c r="P121" i="72"/>
  <c r="X634" i="72"/>
  <c r="X654" i="72" s="1"/>
  <c r="N654" i="72"/>
  <c r="L637" i="72"/>
  <c r="T637" i="72" s="1"/>
  <c r="Z637" i="72" s="1"/>
  <c r="W101" i="72"/>
  <c r="AM30" i="72"/>
  <c r="W76" i="72"/>
  <c r="W51" i="72"/>
  <c r="AN29" i="72"/>
  <c r="AO29" i="72" s="1"/>
  <c r="W26" i="72"/>
  <c r="AQ29" i="72"/>
  <c r="R26" i="72" s="1"/>
  <c r="R51" i="72" s="1"/>
  <c r="R76" i="72" s="1"/>
  <c r="R101" i="72" s="1"/>
  <c r="R126" i="72" s="1"/>
  <c r="R151" i="72" s="1"/>
  <c r="R176" i="72" s="1"/>
  <c r="R201" i="72" s="1"/>
  <c r="R226" i="72" s="1"/>
  <c r="R251" i="72" s="1"/>
  <c r="W401" i="72"/>
  <c r="W301" i="72"/>
  <c r="W251" i="72"/>
  <c r="W151" i="72"/>
  <c r="W451" i="72"/>
  <c r="W351" i="72"/>
  <c r="W201" i="72"/>
  <c r="W376" i="72"/>
  <c r="W276" i="72"/>
  <c r="W226" i="72"/>
  <c r="W126" i="72"/>
  <c r="W426" i="72"/>
  <c r="W326" i="72"/>
  <c r="W176" i="72"/>
  <c r="Z408" i="72"/>
  <c r="Z429" i="72" s="1"/>
  <c r="T429" i="72"/>
  <c r="AA175" i="72"/>
  <c r="AA375" i="72"/>
  <c r="AA300" i="72"/>
  <c r="AA275" i="72"/>
  <c r="AA25" i="72"/>
  <c r="Q10" i="77"/>
  <c r="A5" i="77"/>
  <c r="V429" i="72"/>
  <c r="W444" i="72"/>
  <c r="X433" i="72"/>
  <c r="N454" i="72"/>
  <c r="N455" i="72" s="1"/>
  <c r="E454" i="72"/>
  <c r="M478" i="72"/>
  <c r="V478" i="72" s="1"/>
  <c r="C478" i="72"/>
  <c r="P477" i="72"/>
  <c r="L477" i="72"/>
  <c r="T477" i="72" s="1"/>
  <c r="O476" i="72"/>
  <c r="E476" i="72"/>
  <c r="N475" i="72"/>
  <c r="X475" i="72" s="1"/>
  <c r="D475" i="72"/>
  <c r="M474" i="72"/>
  <c r="V474" i="72" s="1"/>
  <c r="C474" i="72"/>
  <c r="P473" i="72"/>
  <c r="L473" i="72"/>
  <c r="T473" i="72" s="1"/>
  <c r="O472" i="72"/>
  <c r="E472" i="72"/>
  <c r="N471" i="72"/>
  <c r="X471" i="72" s="1"/>
  <c r="D471" i="72"/>
  <c r="M470" i="72"/>
  <c r="V470" i="72" s="1"/>
  <c r="C470" i="72"/>
  <c r="P469" i="72"/>
  <c r="L469" i="72"/>
  <c r="T469" i="72" s="1"/>
  <c r="O468" i="72"/>
  <c r="E468" i="72"/>
  <c r="N467" i="72"/>
  <c r="X467" i="72" s="1"/>
  <c r="D467" i="72"/>
  <c r="M466" i="72"/>
  <c r="V466" i="72" s="1"/>
  <c r="C466" i="72"/>
  <c r="P465" i="72"/>
  <c r="L465" i="72"/>
  <c r="T465" i="72" s="1"/>
  <c r="O464" i="72"/>
  <c r="E464" i="72"/>
  <c r="N463" i="72"/>
  <c r="X463" i="72" s="1"/>
  <c r="D463" i="72"/>
  <c r="M462" i="72"/>
  <c r="V462" i="72" s="1"/>
  <c r="C462" i="72"/>
  <c r="P461" i="72"/>
  <c r="L461" i="72"/>
  <c r="T461" i="72" s="1"/>
  <c r="O460" i="72"/>
  <c r="E460" i="72"/>
  <c r="N459" i="72"/>
  <c r="X459" i="72" s="1"/>
  <c r="D459" i="72"/>
  <c r="M458" i="72"/>
  <c r="W458" i="72" s="1"/>
  <c r="W479" i="72" s="1"/>
  <c r="P478" i="72"/>
  <c r="L478" i="72"/>
  <c r="T478" i="72" s="1"/>
  <c r="O477" i="72"/>
  <c r="E477" i="72"/>
  <c r="N476" i="72"/>
  <c r="D476" i="72"/>
  <c r="M475" i="72"/>
  <c r="C475" i="72"/>
  <c r="P474" i="72"/>
  <c r="L474" i="72"/>
  <c r="T474" i="72" s="1"/>
  <c r="O473" i="72"/>
  <c r="E473" i="72"/>
  <c r="N472" i="72"/>
  <c r="X472" i="72" s="1"/>
  <c r="D472" i="72"/>
  <c r="M471" i="72"/>
  <c r="V471" i="72" s="1"/>
  <c r="C471" i="72"/>
  <c r="P470" i="72"/>
  <c r="L470" i="72"/>
  <c r="T470" i="72" s="1"/>
  <c r="O469" i="72"/>
  <c r="E469" i="72"/>
  <c r="N468" i="72"/>
  <c r="X468" i="72" s="1"/>
  <c r="D468" i="72"/>
  <c r="M467" i="72"/>
  <c r="V467" i="72" s="1"/>
  <c r="C467" i="72"/>
  <c r="P466" i="72"/>
  <c r="L466" i="72"/>
  <c r="T466" i="72" s="1"/>
  <c r="O465" i="72"/>
  <c r="E465" i="72"/>
  <c r="N464" i="72"/>
  <c r="X464" i="72" s="1"/>
  <c r="D464" i="72"/>
  <c r="M463" i="72"/>
  <c r="V463" i="72" s="1"/>
  <c r="C463" i="72"/>
  <c r="P462" i="72"/>
  <c r="L462" i="72"/>
  <c r="T462" i="72" s="1"/>
  <c r="O461" i="72"/>
  <c r="E461" i="72"/>
  <c r="N460" i="72"/>
  <c r="X460" i="72" s="1"/>
  <c r="D460" i="72"/>
  <c r="M459" i="72"/>
  <c r="V459" i="72" s="1"/>
  <c r="C459" i="72"/>
  <c r="P458" i="72"/>
  <c r="L458" i="72"/>
  <c r="O478" i="72"/>
  <c r="E478" i="72"/>
  <c r="N477" i="72"/>
  <c r="X477" i="72" s="1"/>
  <c r="D477" i="72"/>
  <c r="M476" i="72"/>
  <c r="V476" i="72" s="1"/>
  <c r="C476" i="72"/>
  <c r="P475" i="72"/>
  <c r="L475" i="72"/>
  <c r="O474" i="72"/>
  <c r="E474" i="72"/>
  <c r="N473" i="72"/>
  <c r="X473" i="72" s="1"/>
  <c r="D473" i="72"/>
  <c r="M472" i="72"/>
  <c r="V472" i="72" s="1"/>
  <c r="C472" i="72"/>
  <c r="P471" i="72"/>
  <c r="L471" i="72"/>
  <c r="T471" i="72" s="1"/>
  <c r="O470" i="72"/>
  <c r="E470" i="72"/>
  <c r="N469" i="72"/>
  <c r="X469" i="72" s="1"/>
  <c r="D469" i="72"/>
  <c r="M468" i="72"/>
  <c r="V468" i="72" s="1"/>
  <c r="C468" i="72"/>
  <c r="P467" i="72"/>
  <c r="L467" i="72"/>
  <c r="T467" i="72" s="1"/>
  <c r="O466" i="72"/>
  <c r="E466" i="72"/>
  <c r="N465" i="72"/>
  <c r="X465" i="72" s="1"/>
  <c r="D465" i="72"/>
  <c r="M464" i="72"/>
  <c r="V464" i="72" s="1"/>
  <c r="C464" i="72"/>
  <c r="P463" i="72"/>
  <c r="L463" i="72"/>
  <c r="T463" i="72" s="1"/>
  <c r="O462" i="72"/>
  <c r="E462" i="72"/>
  <c r="N461" i="72"/>
  <c r="X461" i="72" s="1"/>
  <c r="D461" i="72"/>
  <c r="M460" i="72"/>
  <c r="V460" i="72" s="1"/>
  <c r="C460" i="72"/>
  <c r="P459" i="72"/>
  <c r="L459" i="72"/>
  <c r="T459" i="72" s="1"/>
  <c r="O458" i="72"/>
  <c r="E475" i="72"/>
  <c r="N474" i="72"/>
  <c r="X474" i="72" s="1"/>
  <c r="D470" i="72"/>
  <c r="M469" i="72"/>
  <c r="V469" i="72" s="1"/>
  <c r="P468" i="72"/>
  <c r="C465" i="72"/>
  <c r="L464" i="72"/>
  <c r="T464" i="72" s="1"/>
  <c r="O463" i="72"/>
  <c r="E459" i="72"/>
  <c r="N458" i="72"/>
  <c r="Y458" i="72" s="1"/>
  <c r="Y479" i="72" s="1"/>
  <c r="N478" i="72"/>
  <c r="X478" i="72" s="1"/>
  <c r="D474" i="72"/>
  <c r="M473" i="72"/>
  <c r="V473" i="72" s="1"/>
  <c r="P472" i="72"/>
  <c r="C469" i="72"/>
  <c r="L468" i="72"/>
  <c r="T468" i="72" s="1"/>
  <c r="O467" i="72"/>
  <c r="E463" i="72"/>
  <c r="N462" i="72"/>
  <c r="X462" i="72" s="1"/>
  <c r="A481" i="72"/>
  <c r="D478" i="72"/>
  <c r="M477" i="72"/>
  <c r="V477" i="72" s="1"/>
  <c r="P476" i="72"/>
  <c r="C473" i="72"/>
  <c r="L472" i="72"/>
  <c r="T472" i="72" s="1"/>
  <c r="O471" i="72"/>
  <c r="E467" i="72"/>
  <c r="N466" i="72"/>
  <c r="X466" i="72" s="1"/>
  <c r="D462" i="72"/>
  <c r="M461" i="72"/>
  <c r="V461" i="72" s="1"/>
  <c r="P460" i="72"/>
  <c r="L476" i="72"/>
  <c r="T476" i="72" s="1"/>
  <c r="D466" i="72"/>
  <c r="O459" i="72"/>
  <c r="O475" i="72"/>
  <c r="M465" i="72"/>
  <c r="V465" i="72" s="1"/>
  <c r="E471" i="72"/>
  <c r="P464" i="72"/>
  <c r="C461" i="72"/>
  <c r="N470" i="72"/>
  <c r="X470" i="72" s="1"/>
  <c r="C477" i="72"/>
  <c r="L460" i="72"/>
  <c r="T460" i="72" s="1"/>
  <c r="Y463" i="72"/>
  <c r="Z443" i="72"/>
  <c r="P454" i="72"/>
  <c r="AA441" i="72" l="1"/>
  <c r="W459" i="72"/>
  <c r="R217" i="72"/>
  <c r="O192" i="72"/>
  <c r="P192" i="72"/>
  <c r="AA446" i="72"/>
  <c r="AA437" i="72"/>
  <c r="AA433" i="72"/>
  <c r="AA454" i="72" s="1"/>
  <c r="AA438" i="72"/>
  <c r="AA436" i="72"/>
  <c r="AA443" i="72"/>
  <c r="AA442" i="72"/>
  <c r="AA439" i="72"/>
  <c r="AA434" i="72"/>
  <c r="U462" i="72"/>
  <c r="AA440" i="72"/>
  <c r="Y462" i="72"/>
  <c r="U458" i="72"/>
  <c r="U479" i="72" s="1"/>
  <c r="Y467" i="72"/>
  <c r="U466" i="72"/>
  <c r="Y459" i="72"/>
  <c r="W470" i="72"/>
  <c r="U459" i="72"/>
  <c r="AA435" i="72"/>
  <c r="Y465" i="72"/>
  <c r="U467" i="72"/>
  <c r="U464" i="72"/>
  <c r="W466" i="72"/>
  <c r="U463" i="72"/>
  <c r="AA445" i="72"/>
  <c r="X454" i="72"/>
  <c r="P240" i="72"/>
  <c r="O240" i="72"/>
  <c r="Q640" i="72"/>
  <c r="Q265" i="72"/>
  <c r="O237" i="72"/>
  <c r="Q262" i="72"/>
  <c r="P237" i="72"/>
  <c r="Q637" i="72"/>
  <c r="Q263" i="72"/>
  <c r="Q638" i="72"/>
  <c r="O238" i="72"/>
  <c r="P238" i="72"/>
  <c r="O235" i="72"/>
  <c r="P235" i="72"/>
  <c r="Q260" i="72"/>
  <c r="Q635" i="72"/>
  <c r="P234" i="72"/>
  <c r="Q634" i="72"/>
  <c r="Q259" i="72"/>
  <c r="O234" i="72"/>
  <c r="Q633" i="72"/>
  <c r="Q258" i="72"/>
  <c r="P233" i="72"/>
  <c r="O233" i="72"/>
  <c r="P236" i="72"/>
  <c r="O236" i="72"/>
  <c r="Q261" i="72"/>
  <c r="Q636" i="72"/>
  <c r="Q639" i="72"/>
  <c r="Q264" i="72"/>
  <c r="P239" i="72"/>
  <c r="O239" i="72"/>
  <c r="R241" i="72"/>
  <c r="P216" i="72"/>
  <c r="O216" i="72"/>
  <c r="AA448" i="72"/>
  <c r="AA449" i="72"/>
  <c r="W474" i="72"/>
  <c r="U460" i="72"/>
  <c r="Z468" i="72"/>
  <c r="Y469" i="72"/>
  <c r="U472" i="72"/>
  <c r="Y468" i="72"/>
  <c r="W462" i="72"/>
  <c r="AA444" i="72"/>
  <c r="U470" i="72"/>
  <c r="AA447" i="72"/>
  <c r="Y475" i="72"/>
  <c r="Y472" i="72"/>
  <c r="U471" i="72"/>
  <c r="U474" i="72"/>
  <c r="W473" i="72"/>
  <c r="Y471" i="72"/>
  <c r="Y474" i="72"/>
  <c r="Y473" i="72"/>
  <c r="AA450" i="72"/>
  <c r="Y461" i="72"/>
  <c r="L654" i="72"/>
  <c r="Z461" i="72"/>
  <c r="Z473" i="72"/>
  <c r="Z477" i="72"/>
  <c r="E455" i="72"/>
  <c r="V454" i="72"/>
  <c r="AA301" i="72"/>
  <c r="AA426" i="72"/>
  <c r="AA201" i="72"/>
  <c r="T654" i="72"/>
  <c r="AA126" i="72"/>
  <c r="V475" i="72"/>
  <c r="W475" i="72"/>
  <c r="Q642" i="72"/>
  <c r="Q267" i="72"/>
  <c r="Q75" i="72"/>
  <c r="O50" i="72"/>
  <c r="P50" i="72"/>
  <c r="W471" i="72"/>
  <c r="U469" i="72"/>
  <c r="U468" i="72"/>
  <c r="W467" i="72"/>
  <c r="W465" i="72"/>
  <c r="W464" i="72"/>
  <c r="W463" i="72"/>
  <c r="Z464" i="72"/>
  <c r="Z459" i="72"/>
  <c r="Z463" i="72"/>
  <c r="Z467" i="72"/>
  <c r="Z471" i="72"/>
  <c r="T475" i="72"/>
  <c r="U475" i="72"/>
  <c r="L479" i="72"/>
  <c r="L480" i="72" s="1"/>
  <c r="T458" i="72"/>
  <c r="Z462" i="72"/>
  <c r="Z466" i="72"/>
  <c r="Z470" i="72"/>
  <c r="Z474" i="72"/>
  <c r="Z478" i="72"/>
  <c r="Q36" i="75"/>
  <c r="A10" i="77"/>
  <c r="Q243" i="72"/>
  <c r="P218" i="72"/>
  <c r="O218" i="72"/>
  <c r="Q99" i="72"/>
  <c r="O74" i="72"/>
  <c r="P74" i="72"/>
  <c r="AA101" i="72"/>
  <c r="AA451" i="72"/>
  <c r="AA351" i="72"/>
  <c r="AA376" i="72"/>
  <c r="AA26" i="72"/>
  <c r="Y652" i="72"/>
  <c r="Z634" i="72"/>
  <c r="Z654" i="72" s="1"/>
  <c r="A506" i="72"/>
  <c r="M503" i="72"/>
  <c r="V503" i="72" s="1"/>
  <c r="C503" i="72"/>
  <c r="P502" i="72"/>
  <c r="L502" i="72"/>
  <c r="T502" i="72" s="1"/>
  <c r="O501" i="72"/>
  <c r="E501" i="72"/>
  <c r="N500" i="72"/>
  <c r="X500" i="72" s="1"/>
  <c r="D500" i="72"/>
  <c r="M499" i="72"/>
  <c r="V499" i="72" s="1"/>
  <c r="C499" i="72"/>
  <c r="P498" i="72"/>
  <c r="L498" i="72"/>
  <c r="T498" i="72" s="1"/>
  <c r="O497" i="72"/>
  <c r="E497" i="72"/>
  <c r="N496" i="72"/>
  <c r="X496" i="72" s="1"/>
  <c r="D496" i="72"/>
  <c r="M495" i="72"/>
  <c r="V495" i="72" s="1"/>
  <c r="C495" i="72"/>
  <c r="P494" i="72"/>
  <c r="L494" i="72"/>
  <c r="T494" i="72" s="1"/>
  <c r="O493" i="72"/>
  <c r="E493" i="72"/>
  <c r="N492" i="72"/>
  <c r="X492" i="72" s="1"/>
  <c r="D492" i="72"/>
  <c r="M491" i="72"/>
  <c r="V491" i="72" s="1"/>
  <c r="C491" i="72"/>
  <c r="P490" i="72"/>
  <c r="L490" i="72"/>
  <c r="T490" i="72" s="1"/>
  <c r="O489" i="72"/>
  <c r="E489" i="72"/>
  <c r="N488" i="72"/>
  <c r="X488" i="72" s="1"/>
  <c r="D488" i="72"/>
  <c r="M487" i="72"/>
  <c r="V487" i="72" s="1"/>
  <c r="C487" i="72"/>
  <c r="P486" i="72"/>
  <c r="L486" i="72"/>
  <c r="T486" i="72" s="1"/>
  <c r="O485" i="72"/>
  <c r="E485" i="72"/>
  <c r="N484" i="72"/>
  <c r="X484" i="72" s="1"/>
  <c r="D484" i="72"/>
  <c r="M483" i="72"/>
  <c r="W483" i="72" s="1"/>
  <c r="W504" i="72" s="1"/>
  <c r="P503" i="72"/>
  <c r="L503" i="72"/>
  <c r="T503" i="72" s="1"/>
  <c r="O502" i="72"/>
  <c r="E502" i="72"/>
  <c r="N501" i="72"/>
  <c r="X501" i="72" s="1"/>
  <c r="D501" i="72"/>
  <c r="M500" i="72"/>
  <c r="V500" i="72" s="1"/>
  <c r="C500" i="72"/>
  <c r="P499" i="72"/>
  <c r="L499" i="72"/>
  <c r="T499" i="72" s="1"/>
  <c r="O498" i="72"/>
  <c r="E498" i="72"/>
  <c r="N497" i="72"/>
  <c r="X497" i="72" s="1"/>
  <c r="D497" i="72"/>
  <c r="M496" i="72"/>
  <c r="V496" i="72" s="1"/>
  <c r="C496" i="72"/>
  <c r="P495" i="72"/>
  <c r="L495" i="72"/>
  <c r="T495" i="72" s="1"/>
  <c r="O494" i="72"/>
  <c r="E494" i="72"/>
  <c r="N493" i="72"/>
  <c r="X493" i="72" s="1"/>
  <c r="D493" i="72"/>
  <c r="M492" i="72"/>
  <c r="V492" i="72" s="1"/>
  <c r="C492" i="72"/>
  <c r="P491" i="72"/>
  <c r="L491" i="72"/>
  <c r="T491" i="72" s="1"/>
  <c r="O490" i="72"/>
  <c r="E490" i="72"/>
  <c r="N489" i="72"/>
  <c r="X489" i="72" s="1"/>
  <c r="D489" i="72"/>
  <c r="M488" i="72"/>
  <c r="V488" i="72" s="1"/>
  <c r="C488" i="72"/>
  <c r="P487" i="72"/>
  <c r="L487" i="72"/>
  <c r="T487" i="72" s="1"/>
  <c r="O486" i="72"/>
  <c r="E486" i="72"/>
  <c r="N485" i="72"/>
  <c r="X485" i="72" s="1"/>
  <c r="D485" i="72"/>
  <c r="M484" i="72"/>
  <c r="V484" i="72" s="1"/>
  <c r="C484" i="72"/>
  <c r="P483" i="72"/>
  <c r="L483" i="72"/>
  <c r="O503" i="72"/>
  <c r="E503" i="72"/>
  <c r="N502" i="72"/>
  <c r="X502" i="72" s="1"/>
  <c r="D502" i="72"/>
  <c r="M501" i="72"/>
  <c r="V501" i="72" s="1"/>
  <c r="C501" i="72"/>
  <c r="P500" i="72"/>
  <c r="L500" i="72"/>
  <c r="T500" i="72" s="1"/>
  <c r="O499" i="72"/>
  <c r="E499" i="72"/>
  <c r="N498" i="72"/>
  <c r="X498" i="72" s="1"/>
  <c r="D498" i="72"/>
  <c r="M497" i="72"/>
  <c r="V497" i="72" s="1"/>
  <c r="C497" i="72"/>
  <c r="P496" i="72"/>
  <c r="L496" i="72"/>
  <c r="T496" i="72" s="1"/>
  <c r="O495" i="72"/>
  <c r="E495" i="72"/>
  <c r="N494" i="72"/>
  <c r="X494" i="72" s="1"/>
  <c r="D494" i="72"/>
  <c r="M493" i="72"/>
  <c r="V493" i="72" s="1"/>
  <c r="C493" i="72"/>
  <c r="P492" i="72"/>
  <c r="L492" i="72"/>
  <c r="T492" i="72" s="1"/>
  <c r="O491" i="72"/>
  <c r="E491" i="72"/>
  <c r="N490" i="72"/>
  <c r="X490" i="72" s="1"/>
  <c r="D490" i="72"/>
  <c r="M489" i="72"/>
  <c r="V489" i="72" s="1"/>
  <c r="C489" i="72"/>
  <c r="P488" i="72"/>
  <c r="L488" i="72"/>
  <c r="T488" i="72" s="1"/>
  <c r="O487" i="72"/>
  <c r="E487" i="72"/>
  <c r="N486" i="72"/>
  <c r="X486" i="72" s="1"/>
  <c r="D486" i="72"/>
  <c r="M485" i="72"/>
  <c r="V485" i="72" s="1"/>
  <c r="C485" i="72"/>
  <c r="P484" i="72"/>
  <c r="L484" i="72"/>
  <c r="T484" i="72" s="1"/>
  <c r="O483" i="72"/>
  <c r="C502" i="72"/>
  <c r="L501" i="72"/>
  <c r="T501" i="72" s="1"/>
  <c r="O500" i="72"/>
  <c r="E496" i="72"/>
  <c r="N495" i="72"/>
  <c r="X495" i="72" s="1"/>
  <c r="D491" i="72"/>
  <c r="M490" i="72"/>
  <c r="V490" i="72" s="1"/>
  <c r="P489" i="72"/>
  <c r="C486" i="72"/>
  <c r="L485" i="72"/>
  <c r="T485" i="72" s="1"/>
  <c r="O484" i="72"/>
  <c r="E500" i="72"/>
  <c r="N499" i="72"/>
  <c r="X499" i="72" s="1"/>
  <c r="D495" i="72"/>
  <c r="M494" i="72"/>
  <c r="V494" i="72" s="1"/>
  <c r="P493" i="72"/>
  <c r="C490" i="72"/>
  <c r="L489" i="72"/>
  <c r="T489" i="72" s="1"/>
  <c r="O488" i="72"/>
  <c r="E484" i="72"/>
  <c r="N483" i="72"/>
  <c r="Y483" i="72" s="1"/>
  <c r="Y504" i="72" s="1"/>
  <c r="N503" i="72"/>
  <c r="X503" i="72" s="1"/>
  <c r="D499" i="72"/>
  <c r="M498" i="72"/>
  <c r="V498" i="72" s="1"/>
  <c r="P497" i="72"/>
  <c r="C494" i="72"/>
  <c r="L493" i="72"/>
  <c r="T493" i="72" s="1"/>
  <c r="O492" i="72"/>
  <c r="E488" i="72"/>
  <c r="N487" i="72"/>
  <c r="X487" i="72" s="1"/>
  <c r="P501" i="72"/>
  <c r="C498" i="72"/>
  <c r="N491" i="72"/>
  <c r="X491" i="72" s="1"/>
  <c r="L497" i="72"/>
  <c r="T497" i="72" s="1"/>
  <c r="D487" i="72"/>
  <c r="D503" i="72"/>
  <c r="O496" i="72"/>
  <c r="M486" i="72"/>
  <c r="V486" i="72" s="1"/>
  <c r="E492" i="72"/>
  <c r="M502" i="72"/>
  <c r="V502" i="72" s="1"/>
  <c r="P485" i="72"/>
  <c r="U633" i="72"/>
  <c r="U634" i="72"/>
  <c r="W633" i="72"/>
  <c r="W654" i="72" s="1"/>
  <c r="Y635" i="72"/>
  <c r="U635" i="72"/>
  <c r="Y634" i="72"/>
  <c r="Y633" i="72"/>
  <c r="Y654" i="72" s="1"/>
  <c r="W635" i="72"/>
  <c r="W634" i="72"/>
  <c r="Y636" i="72"/>
  <c r="U486" i="72"/>
  <c r="Y637" i="72"/>
  <c r="W636" i="72"/>
  <c r="U636" i="72"/>
  <c r="W637" i="72"/>
  <c r="U637" i="72"/>
  <c r="Y638" i="72"/>
  <c r="U638" i="72"/>
  <c r="W488" i="72"/>
  <c r="W638" i="72"/>
  <c r="Y639" i="72"/>
  <c r="Y640" i="72"/>
  <c r="W639" i="72"/>
  <c r="U639" i="72"/>
  <c r="W640" i="72"/>
  <c r="Y641" i="72"/>
  <c r="U640" i="72"/>
  <c r="Y642" i="72"/>
  <c r="U641" i="72"/>
  <c r="W641" i="72"/>
  <c r="W642" i="72"/>
  <c r="Y643" i="72"/>
  <c r="U642" i="72"/>
  <c r="U643" i="72"/>
  <c r="Y644" i="72"/>
  <c r="W643" i="72"/>
  <c r="U644" i="72"/>
  <c r="Y645" i="72"/>
  <c r="W644" i="72"/>
  <c r="W645" i="72"/>
  <c r="Y646" i="72"/>
  <c r="U645" i="72"/>
  <c r="Y647" i="72"/>
  <c r="U646" i="72"/>
  <c r="W646" i="72"/>
  <c r="U647" i="72"/>
  <c r="W647" i="72"/>
  <c r="Y648" i="72"/>
  <c r="W648" i="72"/>
  <c r="U648" i="72"/>
  <c r="Y649" i="72"/>
  <c r="U649" i="72"/>
  <c r="Y650" i="72"/>
  <c r="W649" i="72"/>
  <c r="Y651" i="72"/>
  <c r="W650" i="72"/>
  <c r="U650" i="72"/>
  <c r="O479" i="72"/>
  <c r="D479" i="72"/>
  <c r="Z465" i="72"/>
  <c r="U651" i="72"/>
  <c r="Y103" i="72"/>
  <c r="Y78" i="72"/>
  <c r="AU32" i="72"/>
  <c r="Y53" i="72"/>
  <c r="AV31" i="72"/>
  <c r="AW31" i="72" s="1"/>
  <c r="Y378" i="72"/>
  <c r="Y28" i="72"/>
  <c r="Y653" i="72"/>
  <c r="Y478" i="72"/>
  <c r="Y428" i="72"/>
  <c r="Y328" i="72"/>
  <c r="Y278" i="72"/>
  <c r="Y228" i="72"/>
  <c r="Y178" i="72"/>
  <c r="Y128" i="72"/>
  <c r="AY31" i="72"/>
  <c r="S28" i="72" s="1"/>
  <c r="S53" i="72" s="1"/>
  <c r="S78" i="72" s="1"/>
  <c r="S103" i="72" s="1"/>
  <c r="S128" i="72" s="1"/>
  <c r="S153" i="72" s="1"/>
  <c r="S178" i="72" s="1"/>
  <c r="S203" i="72" s="1"/>
  <c r="S228" i="72" s="1"/>
  <c r="S253" i="72" s="1"/>
  <c r="Y153" i="72"/>
  <c r="Y303" i="72"/>
  <c r="Y203" i="72"/>
  <c r="Y403" i="72"/>
  <c r="Y353" i="72"/>
  <c r="Y253" i="72"/>
  <c r="Y453" i="72"/>
  <c r="W472" i="72"/>
  <c r="U465" i="72"/>
  <c r="U461" i="72"/>
  <c r="X458" i="72"/>
  <c r="N479" i="72"/>
  <c r="N480" i="72" s="1"/>
  <c r="P479" i="72"/>
  <c r="X476" i="72"/>
  <c r="Z476" i="72" s="1"/>
  <c r="Y476" i="72"/>
  <c r="R651" i="72"/>
  <c r="R276" i="72"/>
  <c r="R301" i="72" s="1"/>
  <c r="R326" i="72" s="1"/>
  <c r="R351" i="72" s="1"/>
  <c r="R376" i="72" s="1"/>
  <c r="R401" i="72" s="1"/>
  <c r="R426" i="72" s="1"/>
  <c r="R451" i="72" s="1"/>
  <c r="R476" i="72" s="1"/>
  <c r="R501" i="72" s="1"/>
  <c r="R526" i="72" s="1"/>
  <c r="R551" i="72" s="1"/>
  <c r="R576" i="72" s="1"/>
  <c r="R601" i="72" s="1"/>
  <c r="R626" i="72" s="1"/>
  <c r="Q123" i="72"/>
  <c r="P98" i="72"/>
  <c r="O98" i="72"/>
  <c r="Q291" i="72"/>
  <c r="AA151" i="72"/>
  <c r="AA401" i="72"/>
  <c r="AA226" i="72"/>
  <c r="AA76" i="72"/>
  <c r="AA176" i="72"/>
  <c r="S652" i="72"/>
  <c r="S277" i="72"/>
  <c r="S302" i="72" s="1"/>
  <c r="S327" i="72" s="1"/>
  <c r="S352" i="72" s="1"/>
  <c r="S377" i="72" s="1"/>
  <c r="S402" i="72" s="1"/>
  <c r="S427" i="72" s="1"/>
  <c r="S452" i="72" s="1"/>
  <c r="S477" i="72" s="1"/>
  <c r="S502" i="72" s="1"/>
  <c r="S527" i="72" s="1"/>
  <c r="S552" i="72" s="1"/>
  <c r="S577" i="72" s="1"/>
  <c r="S602" i="72" s="1"/>
  <c r="S627" i="72" s="1"/>
  <c r="Z469" i="72"/>
  <c r="Q51" i="72"/>
  <c r="P26" i="72"/>
  <c r="O26" i="72"/>
  <c r="U476" i="72"/>
  <c r="Q219" i="72"/>
  <c r="O194" i="72"/>
  <c r="P194" i="72"/>
  <c r="Y470" i="72"/>
  <c r="W468" i="72"/>
  <c r="Z460" i="72"/>
  <c r="U473" i="72"/>
  <c r="W469" i="72"/>
  <c r="Y466" i="72"/>
  <c r="Y464" i="72"/>
  <c r="W461" i="72"/>
  <c r="W460" i="72"/>
  <c r="Y460" i="72"/>
  <c r="Z472" i="72"/>
  <c r="E479" i="72"/>
  <c r="C479" i="72"/>
  <c r="M479" i="72"/>
  <c r="M480" i="72" s="1"/>
  <c r="V458" i="72"/>
  <c r="W476" i="72"/>
  <c r="W651" i="72"/>
  <c r="AN30" i="72"/>
  <c r="AO30" i="72" s="1"/>
  <c r="W227" i="72"/>
  <c r="W102" i="72"/>
  <c r="W252" i="72"/>
  <c r="W127" i="72"/>
  <c r="AM31" i="72"/>
  <c r="W202" i="72"/>
  <c r="W77" i="72"/>
  <c r="W52" i="72"/>
  <c r="W452" i="72"/>
  <c r="W352" i="72"/>
  <c r="W302" i="72"/>
  <c r="W652" i="72"/>
  <c r="W402" i="72"/>
  <c r="W327" i="72"/>
  <c r="W277" i="72"/>
  <c r="W427" i="72"/>
  <c r="W27" i="72"/>
  <c r="W377" i="72"/>
  <c r="W152" i="72"/>
  <c r="AQ30" i="72"/>
  <c r="R27" i="72" s="1"/>
  <c r="R52" i="72" s="1"/>
  <c r="R77" i="72" s="1"/>
  <c r="R102" i="72" s="1"/>
  <c r="R127" i="72" s="1"/>
  <c r="R152" i="72" s="1"/>
  <c r="R177" i="72" s="1"/>
  <c r="R202" i="72" s="1"/>
  <c r="R227" i="72" s="1"/>
  <c r="R252" i="72" s="1"/>
  <c r="W177" i="72"/>
  <c r="W477" i="72"/>
  <c r="Q171" i="72"/>
  <c r="P146" i="72"/>
  <c r="O146" i="72"/>
  <c r="T454" i="72"/>
  <c r="Z433" i="72"/>
  <c r="Z454" i="72" s="1"/>
  <c r="Q195" i="72"/>
  <c r="P170" i="72"/>
  <c r="O170" i="72"/>
  <c r="AA251" i="72"/>
  <c r="AA276" i="72"/>
  <c r="AA51" i="72"/>
  <c r="AA326" i="72"/>
  <c r="AE31" i="72"/>
  <c r="AF30" i="72"/>
  <c r="AG30" i="72" s="1"/>
  <c r="U27" i="72"/>
  <c r="AI30" i="72"/>
  <c r="Q27" i="72" s="1"/>
  <c r="U302" i="72"/>
  <c r="U177" i="72"/>
  <c r="U452" i="72"/>
  <c r="U52" i="72"/>
  <c r="U77" i="72"/>
  <c r="U352" i="72"/>
  <c r="U227" i="72"/>
  <c r="U127" i="72"/>
  <c r="U652" i="72"/>
  <c r="U327" i="72"/>
  <c r="U427" i="72"/>
  <c r="U202" i="72"/>
  <c r="U477" i="72"/>
  <c r="U402" i="72"/>
  <c r="U377" i="72"/>
  <c r="U277" i="72"/>
  <c r="U252" i="72"/>
  <c r="U152" i="72"/>
  <c r="U102" i="72"/>
  <c r="Y477" i="72"/>
  <c r="Q147" i="72"/>
  <c r="O122" i="72"/>
  <c r="P122" i="72"/>
  <c r="Q288" i="72" l="1"/>
  <c r="O263" i="72"/>
  <c r="P263" i="72"/>
  <c r="Q290" i="72"/>
  <c r="P265" i="72"/>
  <c r="O265" i="72"/>
  <c r="Q286" i="72"/>
  <c r="O261" i="72"/>
  <c r="P261" i="72"/>
  <c r="Q284" i="72"/>
  <c r="P259" i="72"/>
  <c r="O259" i="72"/>
  <c r="Q285" i="72"/>
  <c r="O260" i="72"/>
  <c r="P260" i="72"/>
  <c r="Q289" i="72"/>
  <c r="Q314" i="72" s="1"/>
  <c r="P264" i="72"/>
  <c r="O264" i="72"/>
  <c r="Q283" i="72"/>
  <c r="O258" i="72"/>
  <c r="P258" i="72"/>
  <c r="Q287" i="72"/>
  <c r="O262" i="72"/>
  <c r="P262" i="72"/>
  <c r="U502" i="72"/>
  <c r="P289" i="72"/>
  <c r="Q312" i="72"/>
  <c r="P287" i="72"/>
  <c r="O287" i="72"/>
  <c r="Q313" i="72"/>
  <c r="P288" i="72"/>
  <c r="O288" i="72"/>
  <c r="Q308" i="72"/>
  <c r="P283" i="72"/>
  <c r="O283" i="72"/>
  <c r="Q311" i="72"/>
  <c r="O286" i="72"/>
  <c r="P286" i="72"/>
  <c r="Q309" i="72"/>
  <c r="O284" i="72"/>
  <c r="P284" i="72"/>
  <c r="Q310" i="72"/>
  <c r="P285" i="72"/>
  <c r="O285" i="72"/>
  <c r="Y501" i="72"/>
  <c r="U494" i="72"/>
  <c r="W493" i="72"/>
  <c r="W484" i="72"/>
  <c r="R242" i="72"/>
  <c r="P217" i="72"/>
  <c r="O217" i="72"/>
  <c r="AA462" i="72"/>
  <c r="AA467" i="72"/>
  <c r="AA459" i="72"/>
  <c r="AA458" i="72"/>
  <c r="AA479" i="72" s="1"/>
  <c r="U493" i="72"/>
  <c r="U492" i="72"/>
  <c r="U483" i="72"/>
  <c r="AA483" i="72" s="1"/>
  <c r="AA504" i="72" s="1"/>
  <c r="AA466" i="72"/>
  <c r="W489" i="72"/>
  <c r="AA470" i="72"/>
  <c r="U487" i="72"/>
  <c r="Y492" i="72"/>
  <c r="Y484" i="72"/>
  <c r="U495" i="72"/>
  <c r="Y496" i="72"/>
  <c r="W494" i="72"/>
  <c r="U491" i="72"/>
  <c r="W490" i="72"/>
  <c r="U488" i="72"/>
  <c r="Y488" i="72"/>
  <c r="U484" i="72"/>
  <c r="AA463" i="72"/>
  <c r="O640" i="72"/>
  <c r="P640" i="72"/>
  <c r="O635" i="72"/>
  <c r="P635" i="72"/>
  <c r="O637" i="72"/>
  <c r="P637" i="72"/>
  <c r="O634" i="72"/>
  <c r="P634" i="72"/>
  <c r="O638" i="72"/>
  <c r="P638" i="72"/>
  <c r="O636" i="72"/>
  <c r="P636" i="72"/>
  <c r="AA102" i="72"/>
  <c r="R641" i="72"/>
  <c r="R266" i="72"/>
  <c r="P241" i="72"/>
  <c r="O241" i="72"/>
  <c r="O639" i="72"/>
  <c r="P639" i="72"/>
  <c r="O633" i="72"/>
  <c r="P633" i="72"/>
  <c r="AA474" i="72"/>
  <c r="Y487" i="72"/>
  <c r="U489" i="72"/>
  <c r="U501" i="72"/>
  <c r="Y493" i="72"/>
  <c r="W492" i="72"/>
  <c r="U490" i="72"/>
  <c r="Y490" i="72"/>
  <c r="Y489" i="72"/>
  <c r="W487" i="72"/>
  <c r="W486" i="72"/>
  <c r="Y486" i="72"/>
  <c r="Y485" i="72"/>
  <c r="U485" i="72"/>
  <c r="Y502" i="72"/>
  <c r="Y503" i="72"/>
  <c r="Y498" i="72"/>
  <c r="U497" i="72"/>
  <c r="Y494" i="72"/>
  <c r="AA472" i="72"/>
  <c r="Y497" i="72"/>
  <c r="U498" i="72"/>
  <c r="W497" i="72"/>
  <c r="Z497" i="72"/>
  <c r="AA471" i="72"/>
  <c r="W496" i="72"/>
  <c r="U500" i="72"/>
  <c r="W498" i="72"/>
  <c r="U496" i="72"/>
  <c r="U499" i="72"/>
  <c r="AA473" i="72"/>
  <c r="Y500" i="72"/>
  <c r="Z475" i="72"/>
  <c r="V479" i="72"/>
  <c r="W500" i="72"/>
  <c r="W502" i="72"/>
  <c r="W499" i="72"/>
  <c r="W491" i="72"/>
  <c r="Y491" i="72"/>
  <c r="Z493" i="72"/>
  <c r="Z484" i="72"/>
  <c r="Z488" i="72"/>
  <c r="Z492" i="72"/>
  <c r="Z496" i="72"/>
  <c r="Z500" i="72"/>
  <c r="Y499" i="72"/>
  <c r="W495" i="72"/>
  <c r="Y495" i="72"/>
  <c r="W485" i="72"/>
  <c r="Z489" i="72"/>
  <c r="Z501" i="72"/>
  <c r="AA465" i="72"/>
  <c r="AA652" i="72"/>
  <c r="AA202" i="72"/>
  <c r="AA377" i="72"/>
  <c r="AA427" i="72"/>
  <c r="AA227" i="72"/>
  <c r="AA452" i="72"/>
  <c r="AA464" i="72"/>
  <c r="AA636" i="72"/>
  <c r="AA327" i="72"/>
  <c r="AA252" i="72"/>
  <c r="AA77" i="72"/>
  <c r="AA302" i="72"/>
  <c r="AA650" i="72"/>
  <c r="AA637" i="72"/>
  <c r="AA277" i="72"/>
  <c r="AA127" i="72"/>
  <c r="AA52" i="72"/>
  <c r="AA152" i="72"/>
  <c r="AA402" i="72"/>
  <c r="AA352" i="72"/>
  <c r="AA177" i="72"/>
  <c r="AA27" i="72"/>
  <c r="AA647" i="72"/>
  <c r="AA643" i="72"/>
  <c r="AA475" i="72"/>
  <c r="AA460" i="72"/>
  <c r="AA645" i="72"/>
  <c r="AA644" i="72"/>
  <c r="AA639" i="72"/>
  <c r="Q220" i="72"/>
  <c r="P195" i="72"/>
  <c r="O195" i="72"/>
  <c r="Q76" i="72"/>
  <c r="O51" i="72"/>
  <c r="P51" i="72"/>
  <c r="X479" i="72"/>
  <c r="Q172" i="72"/>
  <c r="O147" i="72"/>
  <c r="P147" i="72"/>
  <c r="AE32" i="72"/>
  <c r="AF31" i="72"/>
  <c r="AG31" i="72" s="1"/>
  <c r="U478" i="72"/>
  <c r="U428" i="72"/>
  <c r="U653" i="72"/>
  <c r="U503" i="72"/>
  <c r="U453" i="72"/>
  <c r="U403" i="72"/>
  <c r="U103" i="72"/>
  <c r="U53" i="72"/>
  <c r="U353" i="72"/>
  <c r="U303" i="72"/>
  <c r="U378" i="72"/>
  <c r="U253" i="72"/>
  <c r="U203" i="72"/>
  <c r="U328" i="72"/>
  <c r="U278" i="72"/>
  <c r="U228" i="72"/>
  <c r="U178" i="72"/>
  <c r="U128" i="72"/>
  <c r="U28" i="72"/>
  <c r="U153" i="72"/>
  <c r="AI31" i="72"/>
  <c r="Q28" i="72" s="1"/>
  <c r="U78" i="72"/>
  <c r="AA476" i="72"/>
  <c r="Q148" i="72"/>
  <c r="O123" i="72"/>
  <c r="P123" i="72"/>
  <c r="AA461" i="72"/>
  <c r="S653" i="72"/>
  <c r="S278" i="72"/>
  <c r="S303" i="72" s="1"/>
  <c r="S328" i="72" s="1"/>
  <c r="S353" i="72" s="1"/>
  <c r="S378" i="72" s="1"/>
  <c r="S403" i="72" s="1"/>
  <c r="S428" i="72" s="1"/>
  <c r="S453" i="72" s="1"/>
  <c r="S478" i="72" s="1"/>
  <c r="S503" i="72" s="1"/>
  <c r="S528" i="72" s="1"/>
  <c r="S553" i="72" s="1"/>
  <c r="S578" i="72" s="1"/>
  <c r="S603" i="72" s="1"/>
  <c r="S628" i="72" s="1"/>
  <c r="P27" i="72"/>
  <c r="Q52" i="72"/>
  <c r="O27" i="72"/>
  <c r="Q196" i="72"/>
  <c r="P171" i="72"/>
  <c r="O171" i="72"/>
  <c r="R652" i="72"/>
  <c r="R277" i="72"/>
  <c r="R302" i="72" s="1"/>
  <c r="R327" i="72" s="1"/>
  <c r="R352" i="72" s="1"/>
  <c r="R377" i="72" s="1"/>
  <c r="R402" i="72" s="1"/>
  <c r="R427" i="72" s="1"/>
  <c r="R452" i="72" s="1"/>
  <c r="R477" i="72" s="1"/>
  <c r="R502" i="72" s="1"/>
  <c r="R527" i="72" s="1"/>
  <c r="R552" i="72" s="1"/>
  <c r="R577" i="72" s="1"/>
  <c r="R602" i="72" s="1"/>
  <c r="R627" i="72" s="1"/>
  <c r="AQ31" i="72"/>
  <c r="R28" i="72" s="1"/>
  <c r="R53" i="72" s="1"/>
  <c r="R78" i="72" s="1"/>
  <c r="R103" i="72" s="1"/>
  <c r="R128" i="72" s="1"/>
  <c r="R153" i="72" s="1"/>
  <c r="R178" i="72" s="1"/>
  <c r="R203" i="72" s="1"/>
  <c r="R228" i="72" s="1"/>
  <c r="R253" i="72" s="1"/>
  <c r="AN31" i="72"/>
  <c r="AO31" i="72" s="1"/>
  <c r="AM32" i="72"/>
  <c r="W28" i="72"/>
  <c r="W328" i="72"/>
  <c r="W278" i="72"/>
  <c r="W353" i="72"/>
  <c r="W303" i="72"/>
  <c r="W378" i="72"/>
  <c r="W78" i="72"/>
  <c r="W503" i="72"/>
  <c r="W453" i="72"/>
  <c r="W403" i="72"/>
  <c r="W253" i="72"/>
  <c r="W203" i="72"/>
  <c r="W153" i="72"/>
  <c r="W128" i="72"/>
  <c r="W53" i="72"/>
  <c r="W478" i="72"/>
  <c r="W178" i="72"/>
  <c r="W103" i="72"/>
  <c r="W653" i="72"/>
  <c r="W228" i="72"/>
  <c r="W428" i="72"/>
  <c r="Q244" i="72"/>
  <c r="P219" i="72"/>
  <c r="O219" i="72"/>
  <c r="AA477" i="72"/>
  <c r="Q316" i="72"/>
  <c r="AV32" i="72"/>
  <c r="AW32" i="72" s="1"/>
  <c r="AY32" i="72"/>
  <c r="AA641" i="72"/>
  <c r="Z485" i="72"/>
  <c r="P504" i="72"/>
  <c r="Q643" i="72"/>
  <c r="Q268" i="72"/>
  <c r="O243" i="72"/>
  <c r="P243" i="72"/>
  <c r="T479" i="72"/>
  <c r="Z458" i="72"/>
  <c r="AA469" i="72"/>
  <c r="AA649" i="72"/>
  <c r="AA642" i="72"/>
  <c r="AA640" i="72"/>
  <c r="AA634" i="72"/>
  <c r="X483" i="72"/>
  <c r="X504" i="72" s="1"/>
  <c r="N504" i="72"/>
  <c r="N505" i="72" s="1"/>
  <c r="C504" i="72"/>
  <c r="V483" i="72"/>
  <c r="V504" i="72" s="1"/>
  <c r="M504" i="72"/>
  <c r="M505" i="72" s="1"/>
  <c r="Q124" i="72"/>
  <c r="P99" i="72"/>
  <c r="O99" i="72"/>
  <c r="E480" i="72"/>
  <c r="Q292" i="72"/>
  <c r="AA651" i="72"/>
  <c r="AA648" i="72"/>
  <c r="AA646" i="72"/>
  <c r="E504" i="72"/>
  <c r="O504" i="72"/>
  <c r="D504" i="72"/>
  <c r="Z486" i="72"/>
  <c r="Z490" i="72"/>
  <c r="Z494" i="72"/>
  <c r="Z498" i="72"/>
  <c r="Z502" i="72"/>
  <c r="M528" i="72"/>
  <c r="V528" i="72" s="1"/>
  <c r="C528" i="72"/>
  <c r="P527" i="72"/>
  <c r="L527" i="72"/>
  <c r="O526" i="72"/>
  <c r="E526" i="72"/>
  <c r="N525" i="72"/>
  <c r="D525" i="72"/>
  <c r="M524" i="72"/>
  <c r="C524" i="72"/>
  <c r="P523" i="72"/>
  <c r="L523" i="72"/>
  <c r="O522" i="72"/>
  <c r="E522" i="72"/>
  <c r="N521" i="72"/>
  <c r="D521" i="72"/>
  <c r="M520" i="72"/>
  <c r="C520" i="72"/>
  <c r="P519" i="72"/>
  <c r="L519" i="72"/>
  <c r="O518" i="72"/>
  <c r="E518" i="72"/>
  <c r="N517" i="72"/>
  <c r="D517" i="72"/>
  <c r="M516" i="72"/>
  <c r="C516" i="72"/>
  <c r="P515" i="72"/>
  <c r="L515" i="72"/>
  <c r="O514" i="72"/>
  <c r="E514" i="72"/>
  <c r="N513" i="72"/>
  <c r="D513" i="72"/>
  <c r="M512" i="72"/>
  <c r="C512" i="72"/>
  <c r="P511" i="72"/>
  <c r="L511" i="72"/>
  <c r="O510" i="72"/>
  <c r="E510" i="72"/>
  <c r="N509" i="72"/>
  <c r="D509" i="72"/>
  <c r="M508" i="72"/>
  <c r="P528" i="72"/>
  <c r="L528" i="72"/>
  <c r="T528" i="72" s="1"/>
  <c r="O527" i="72"/>
  <c r="E527" i="72"/>
  <c r="N526" i="72"/>
  <c r="D526" i="72"/>
  <c r="M525" i="72"/>
  <c r="C525" i="72"/>
  <c r="P524" i="72"/>
  <c r="L524" i="72"/>
  <c r="O523" i="72"/>
  <c r="E523" i="72"/>
  <c r="N522" i="72"/>
  <c r="D522" i="72"/>
  <c r="M521" i="72"/>
  <c r="C521" i="72"/>
  <c r="P520" i="72"/>
  <c r="L520" i="72"/>
  <c r="O519" i="72"/>
  <c r="E519" i="72"/>
  <c r="N518" i="72"/>
  <c r="D518" i="72"/>
  <c r="M517" i="72"/>
  <c r="C517" i="72"/>
  <c r="P516" i="72"/>
  <c r="L516" i="72"/>
  <c r="O515" i="72"/>
  <c r="E515" i="72"/>
  <c r="N514" i="72"/>
  <c r="D514" i="72"/>
  <c r="M513" i="72"/>
  <c r="C513" i="72"/>
  <c r="P512" i="72"/>
  <c r="L512" i="72"/>
  <c r="O511" i="72"/>
  <c r="E511" i="72"/>
  <c r="N510" i="72"/>
  <c r="D510" i="72"/>
  <c r="M509" i="72"/>
  <c r="C509" i="72"/>
  <c r="O528" i="72"/>
  <c r="E528" i="72"/>
  <c r="N527" i="72"/>
  <c r="D527" i="72"/>
  <c r="M526" i="72"/>
  <c r="C526" i="72"/>
  <c r="P525" i="72"/>
  <c r="L525" i="72"/>
  <c r="O524" i="72"/>
  <c r="E524" i="72"/>
  <c r="N523" i="72"/>
  <c r="D523" i="72"/>
  <c r="M522" i="72"/>
  <c r="C522" i="72"/>
  <c r="P521" i="72"/>
  <c r="L521" i="72"/>
  <c r="O520" i="72"/>
  <c r="E520" i="72"/>
  <c r="N519" i="72"/>
  <c r="D519" i="72"/>
  <c r="M518" i="72"/>
  <c r="C518" i="72"/>
  <c r="P517" i="72"/>
  <c r="L517" i="72"/>
  <c r="O516" i="72"/>
  <c r="E516" i="72"/>
  <c r="N515" i="72"/>
  <c r="D515" i="72"/>
  <c r="M514" i="72"/>
  <c r="C514" i="72"/>
  <c r="P513" i="72"/>
  <c r="L513" i="72"/>
  <c r="O512" i="72"/>
  <c r="E512" i="72"/>
  <c r="N511" i="72"/>
  <c r="D511" i="72"/>
  <c r="M510" i="72"/>
  <c r="C510" i="72"/>
  <c r="P509" i="72"/>
  <c r="L509" i="72"/>
  <c r="O508" i="72"/>
  <c r="E525" i="72"/>
  <c r="N524" i="72"/>
  <c r="D520" i="72"/>
  <c r="M519" i="72"/>
  <c r="P518" i="72"/>
  <c r="C515" i="72"/>
  <c r="L514" i="72"/>
  <c r="O513" i="72"/>
  <c r="E509" i="72"/>
  <c r="N528" i="72"/>
  <c r="D524" i="72"/>
  <c r="M523" i="72"/>
  <c r="P522" i="72"/>
  <c r="C519" i="72"/>
  <c r="L518" i="72"/>
  <c r="O517" i="72"/>
  <c r="E513" i="72"/>
  <c r="N512" i="72"/>
  <c r="P508" i="72"/>
  <c r="A531" i="72"/>
  <c r="D528" i="72"/>
  <c r="M527" i="72"/>
  <c r="P526" i="72"/>
  <c r="C523" i="72"/>
  <c r="L522" i="72"/>
  <c r="O521" i="72"/>
  <c r="E517" i="72"/>
  <c r="N516" i="72"/>
  <c r="D512" i="72"/>
  <c r="M511" i="72"/>
  <c r="P510" i="72"/>
  <c r="N508" i="72"/>
  <c r="O525" i="72"/>
  <c r="M515" i="72"/>
  <c r="E521" i="72"/>
  <c r="P514" i="72"/>
  <c r="C511" i="72"/>
  <c r="L508" i="72"/>
  <c r="C527" i="72"/>
  <c r="N520" i="72"/>
  <c r="L510" i="72"/>
  <c r="D516" i="72"/>
  <c r="L526" i="72"/>
  <c r="O509" i="72"/>
  <c r="Q42" i="75"/>
  <c r="A42" i="75" s="1"/>
  <c r="Q37" i="75"/>
  <c r="A36" i="75"/>
  <c r="Q100" i="72"/>
  <c r="O75" i="72"/>
  <c r="P75" i="72"/>
  <c r="AA638" i="72"/>
  <c r="AA635" i="72"/>
  <c r="U654" i="72"/>
  <c r="AA633" i="72"/>
  <c r="AA654" i="72" s="1"/>
  <c r="L504" i="72"/>
  <c r="L505" i="72" s="1"/>
  <c r="T483" i="72"/>
  <c r="Z487" i="72"/>
  <c r="Z491" i="72"/>
  <c r="Z495" i="72"/>
  <c r="Z499" i="72"/>
  <c r="Z503" i="72"/>
  <c r="AA468" i="72"/>
  <c r="W501" i="72"/>
  <c r="Q315" i="72" l="1"/>
  <c r="P290" i="72"/>
  <c r="O290" i="72"/>
  <c r="O289" i="72"/>
  <c r="R291" i="72"/>
  <c r="P266" i="72"/>
  <c r="O266" i="72"/>
  <c r="Q334" i="72"/>
  <c r="O309" i="72"/>
  <c r="P309" i="72"/>
  <c r="Q337" i="72"/>
  <c r="P312" i="72"/>
  <c r="O312" i="72"/>
  <c r="Q335" i="72"/>
  <c r="O310" i="72"/>
  <c r="P310" i="72"/>
  <c r="Q338" i="72"/>
  <c r="P313" i="72"/>
  <c r="O313" i="72"/>
  <c r="Q333" i="72"/>
  <c r="O308" i="72"/>
  <c r="P308" i="72"/>
  <c r="Q336" i="72"/>
  <c r="O311" i="72"/>
  <c r="P311" i="72"/>
  <c r="Q339" i="72"/>
  <c r="O314" i="72"/>
  <c r="P314" i="72"/>
  <c r="AA484" i="72"/>
  <c r="R267" i="72"/>
  <c r="R642" i="72"/>
  <c r="P242" i="72"/>
  <c r="O242" i="72"/>
  <c r="AA488" i="72"/>
  <c r="AA494" i="72"/>
  <c r="AA493" i="72"/>
  <c r="U504" i="72"/>
  <c r="AA487" i="72"/>
  <c r="AA501" i="72"/>
  <c r="AA492" i="72"/>
  <c r="AA485" i="72"/>
  <c r="AA491" i="72"/>
  <c r="AA489" i="72"/>
  <c r="P641" i="72"/>
  <c r="O641" i="72"/>
  <c r="AA502" i="72"/>
  <c r="AA486" i="72"/>
  <c r="AA499" i="72"/>
  <c r="AA497" i="72"/>
  <c r="AA500" i="72"/>
  <c r="AA490" i="72"/>
  <c r="AA498" i="72"/>
  <c r="AA496" i="72"/>
  <c r="Z479" i="72"/>
  <c r="AA495" i="72"/>
  <c r="E505" i="72"/>
  <c r="X520" i="72"/>
  <c r="Y520" i="72"/>
  <c r="X508" i="72"/>
  <c r="N529" i="72"/>
  <c r="N530" i="72" s="1"/>
  <c r="Y508" i="72"/>
  <c r="Y529" i="72" s="1"/>
  <c r="X516" i="72"/>
  <c r="Y516" i="72"/>
  <c r="M553" i="72"/>
  <c r="C553" i="72"/>
  <c r="P552" i="72"/>
  <c r="L552" i="72"/>
  <c r="O551" i="72"/>
  <c r="E551" i="72"/>
  <c r="N550" i="72"/>
  <c r="D550" i="72"/>
  <c r="M549" i="72"/>
  <c r="C549" i="72"/>
  <c r="P548" i="72"/>
  <c r="L548" i="72"/>
  <c r="O547" i="72"/>
  <c r="E547" i="72"/>
  <c r="N546" i="72"/>
  <c r="D546" i="72"/>
  <c r="M545" i="72"/>
  <c r="C545" i="72"/>
  <c r="P544" i="72"/>
  <c r="L544" i="72"/>
  <c r="O543" i="72"/>
  <c r="E543" i="72"/>
  <c r="N542" i="72"/>
  <c r="D542" i="72"/>
  <c r="M541" i="72"/>
  <c r="C541" i="72"/>
  <c r="P540" i="72"/>
  <c r="L540" i="72"/>
  <c r="O539" i="72"/>
  <c r="E539" i="72"/>
  <c r="N538" i="72"/>
  <c r="D538" i="72"/>
  <c r="M537" i="72"/>
  <c r="C537" i="72"/>
  <c r="P536" i="72"/>
  <c r="L536" i="72"/>
  <c r="O535" i="72"/>
  <c r="E535" i="72"/>
  <c r="N534" i="72"/>
  <c r="D534" i="72"/>
  <c r="M533" i="72"/>
  <c r="P553" i="72"/>
  <c r="L553" i="72"/>
  <c r="O552" i="72"/>
  <c r="E552" i="72"/>
  <c r="N551" i="72"/>
  <c r="D551" i="72"/>
  <c r="M550" i="72"/>
  <c r="C550" i="72"/>
  <c r="P549" i="72"/>
  <c r="L549" i="72"/>
  <c r="O548" i="72"/>
  <c r="E548" i="72"/>
  <c r="N547" i="72"/>
  <c r="D547" i="72"/>
  <c r="M546" i="72"/>
  <c r="C546" i="72"/>
  <c r="P545" i="72"/>
  <c r="L545" i="72"/>
  <c r="O544" i="72"/>
  <c r="E544" i="72"/>
  <c r="N543" i="72"/>
  <c r="D543" i="72"/>
  <c r="M542" i="72"/>
  <c r="C542" i="72"/>
  <c r="P541" i="72"/>
  <c r="L541" i="72"/>
  <c r="O540" i="72"/>
  <c r="E540" i="72"/>
  <c r="N539" i="72"/>
  <c r="D539" i="72"/>
  <c r="M538" i="72"/>
  <c r="C538" i="72"/>
  <c r="P537" i="72"/>
  <c r="L537" i="72"/>
  <c r="O536" i="72"/>
  <c r="E536" i="72"/>
  <c r="N535" i="72"/>
  <c r="D535" i="72"/>
  <c r="M534" i="72"/>
  <c r="C534" i="72"/>
  <c r="P533" i="72"/>
  <c r="L533" i="72"/>
  <c r="O553" i="72"/>
  <c r="E553" i="72"/>
  <c r="N552" i="72"/>
  <c r="D552" i="72"/>
  <c r="M551" i="72"/>
  <c r="C551" i="72"/>
  <c r="P550" i="72"/>
  <c r="L550" i="72"/>
  <c r="O549" i="72"/>
  <c r="E549" i="72"/>
  <c r="N548" i="72"/>
  <c r="D548" i="72"/>
  <c r="M547" i="72"/>
  <c r="C547" i="72"/>
  <c r="P546" i="72"/>
  <c r="L546" i="72"/>
  <c r="O545" i="72"/>
  <c r="E545" i="72"/>
  <c r="N544" i="72"/>
  <c r="D544" i="72"/>
  <c r="M543" i="72"/>
  <c r="C543" i="72"/>
  <c r="P542" i="72"/>
  <c r="L542" i="72"/>
  <c r="O541" i="72"/>
  <c r="E541" i="72"/>
  <c r="N540" i="72"/>
  <c r="D540" i="72"/>
  <c r="M539" i="72"/>
  <c r="C539" i="72"/>
  <c r="P538" i="72"/>
  <c r="L538" i="72"/>
  <c r="O537" i="72"/>
  <c r="E537" i="72"/>
  <c r="N536" i="72"/>
  <c r="D536" i="72"/>
  <c r="M535" i="72"/>
  <c r="C535" i="72"/>
  <c r="P534" i="72"/>
  <c r="L534" i="72"/>
  <c r="O533" i="72"/>
  <c r="N553" i="72"/>
  <c r="D549" i="72"/>
  <c r="M548" i="72"/>
  <c r="P547" i="72"/>
  <c r="C544" i="72"/>
  <c r="L543" i="72"/>
  <c r="O542" i="72"/>
  <c r="E538" i="72"/>
  <c r="N537" i="72"/>
  <c r="A556" i="72"/>
  <c r="D553" i="72"/>
  <c r="M552" i="72"/>
  <c r="P551" i="72"/>
  <c r="C548" i="72"/>
  <c r="L547" i="72"/>
  <c r="O546" i="72"/>
  <c r="E542" i="72"/>
  <c r="N541" i="72"/>
  <c r="D537" i="72"/>
  <c r="M536" i="72"/>
  <c r="P535" i="72"/>
  <c r="C552" i="72"/>
  <c r="L551" i="72"/>
  <c r="O550" i="72"/>
  <c r="E546" i="72"/>
  <c r="N545" i="72"/>
  <c r="D541" i="72"/>
  <c r="M540" i="72"/>
  <c r="P539" i="72"/>
  <c r="C536" i="72"/>
  <c r="L535" i="72"/>
  <c r="O534" i="72"/>
  <c r="D545" i="72"/>
  <c r="O538" i="72"/>
  <c r="M544" i="72"/>
  <c r="E534" i="72"/>
  <c r="E550" i="72"/>
  <c r="P543" i="72"/>
  <c r="C540" i="72"/>
  <c r="N533" i="72"/>
  <c r="N549" i="72"/>
  <c r="L539" i="72"/>
  <c r="V523" i="72"/>
  <c r="W523" i="72"/>
  <c r="V519" i="72"/>
  <c r="W519" i="72"/>
  <c r="O529" i="72"/>
  <c r="V510" i="72"/>
  <c r="W510" i="72"/>
  <c r="V514" i="72"/>
  <c r="W514" i="72"/>
  <c r="V518" i="72"/>
  <c r="W518" i="72"/>
  <c r="V522" i="72"/>
  <c r="W522" i="72"/>
  <c r="V526" i="72"/>
  <c r="W526" i="72"/>
  <c r="X510" i="72"/>
  <c r="Y510" i="72"/>
  <c r="X514" i="72"/>
  <c r="Y514" i="72"/>
  <c r="X518" i="72"/>
  <c r="Y518" i="72"/>
  <c r="X522" i="72"/>
  <c r="Y522" i="72"/>
  <c r="X526" i="72"/>
  <c r="Y526" i="72"/>
  <c r="Q317" i="72"/>
  <c r="Q149" i="72"/>
  <c r="O124" i="72"/>
  <c r="P124" i="72"/>
  <c r="O643" i="72"/>
  <c r="P643" i="72"/>
  <c r="AN32" i="72"/>
  <c r="AO32" i="72" s="1"/>
  <c r="AQ32" i="72"/>
  <c r="Q173" i="72"/>
  <c r="P148" i="72"/>
  <c r="O148" i="72"/>
  <c r="AA153" i="72"/>
  <c r="AA228" i="72"/>
  <c r="AA303" i="72"/>
  <c r="AA103" i="72"/>
  <c r="AA653" i="72"/>
  <c r="Q125" i="72"/>
  <c r="O100" i="72"/>
  <c r="P100" i="72"/>
  <c r="T510" i="72"/>
  <c r="U510" i="72"/>
  <c r="A37" i="75"/>
  <c r="T526" i="72"/>
  <c r="U526" i="72"/>
  <c r="P529" i="72"/>
  <c r="T518" i="72"/>
  <c r="U518" i="72"/>
  <c r="T514" i="72"/>
  <c r="U514" i="72"/>
  <c r="T509" i="72"/>
  <c r="U509" i="72"/>
  <c r="T513" i="72"/>
  <c r="U513" i="72"/>
  <c r="T517" i="72"/>
  <c r="U517" i="72"/>
  <c r="T521" i="72"/>
  <c r="U521" i="72"/>
  <c r="T525" i="72"/>
  <c r="U525" i="72"/>
  <c r="C529" i="72"/>
  <c r="M529" i="72"/>
  <c r="M530" i="72" s="1"/>
  <c r="V508" i="72"/>
  <c r="W508" i="72"/>
  <c r="W529" i="72" s="1"/>
  <c r="V512" i="72"/>
  <c r="W512" i="72"/>
  <c r="V516" i="72"/>
  <c r="W516" i="72"/>
  <c r="V520" i="72"/>
  <c r="W520" i="72"/>
  <c r="V524" i="72"/>
  <c r="W524" i="72"/>
  <c r="Q644" i="72"/>
  <c r="Q269" i="72"/>
  <c r="P244" i="72"/>
  <c r="O244" i="72"/>
  <c r="W528" i="72"/>
  <c r="Q77" i="72"/>
  <c r="O52" i="72"/>
  <c r="P52" i="72"/>
  <c r="AA28" i="72"/>
  <c r="AA278" i="72"/>
  <c r="AA203" i="72"/>
  <c r="AA353" i="72"/>
  <c r="AA403" i="72"/>
  <c r="AA428" i="72"/>
  <c r="Q197" i="72"/>
  <c r="O172" i="72"/>
  <c r="P172" i="72"/>
  <c r="Q245" i="72"/>
  <c r="O220" i="72"/>
  <c r="P220" i="72"/>
  <c r="T504" i="72"/>
  <c r="Z483" i="72"/>
  <c r="Z504" i="72" s="1"/>
  <c r="L529" i="72"/>
  <c r="L530" i="72" s="1"/>
  <c r="T508" i="72"/>
  <c r="U508" i="72"/>
  <c r="V515" i="72"/>
  <c r="W515" i="72"/>
  <c r="V511" i="72"/>
  <c r="W511" i="72"/>
  <c r="V527" i="72"/>
  <c r="W527" i="72"/>
  <c r="X512" i="72"/>
  <c r="Y512" i="72"/>
  <c r="X528" i="72"/>
  <c r="Z528" i="72" s="1"/>
  <c r="Y528" i="72"/>
  <c r="X524" i="72"/>
  <c r="Y524" i="72"/>
  <c r="X511" i="72"/>
  <c r="Y511" i="72"/>
  <c r="X515" i="72"/>
  <c r="Y515" i="72"/>
  <c r="X519" i="72"/>
  <c r="Y519" i="72"/>
  <c r="X523" i="72"/>
  <c r="Y523" i="72"/>
  <c r="X527" i="72"/>
  <c r="Y527" i="72"/>
  <c r="V509" i="72"/>
  <c r="W509" i="72"/>
  <c r="V513" i="72"/>
  <c r="W513" i="72"/>
  <c r="V517" i="72"/>
  <c r="W517" i="72"/>
  <c r="V521" i="72"/>
  <c r="W521" i="72"/>
  <c r="V525" i="72"/>
  <c r="W525" i="72"/>
  <c r="D529" i="72"/>
  <c r="T511" i="72"/>
  <c r="U511" i="72"/>
  <c r="T515" i="72"/>
  <c r="U515" i="72"/>
  <c r="T519" i="72"/>
  <c r="U519" i="72"/>
  <c r="T523" i="72"/>
  <c r="U523" i="72"/>
  <c r="T527" i="72"/>
  <c r="U527" i="72"/>
  <c r="Q341" i="72"/>
  <c r="R653" i="72"/>
  <c r="R278" i="72"/>
  <c r="R303" i="72" s="1"/>
  <c r="R328" i="72" s="1"/>
  <c r="R353" i="72" s="1"/>
  <c r="R378" i="72" s="1"/>
  <c r="R403" i="72" s="1"/>
  <c r="R428" i="72" s="1"/>
  <c r="R453" i="72" s="1"/>
  <c r="R478" i="72" s="1"/>
  <c r="R503" i="72" s="1"/>
  <c r="R528" i="72" s="1"/>
  <c r="R553" i="72" s="1"/>
  <c r="R578" i="72" s="1"/>
  <c r="R603" i="72" s="1"/>
  <c r="R628" i="72" s="1"/>
  <c r="AA78" i="72"/>
  <c r="AA128" i="72"/>
  <c r="AA328" i="72"/>
  <c r="AA253" i="72"/>
  <c r="AA453" i="72"/>
  <c r="AA478" i="72"/>
  <c r="AF32" i="72"/>
  <c r="AG32" i="72" s="1"/>
  <c r="AI32" i="72"/>
  <c r="Q101" i="72"/>
  <c r="P76" i="72"/>
  <c r="O76" i="72"/>
  <c r="T522" i="72"/>
  <c r="U522" i="72"/>
  <c r="E529" i="72"/>
  <c r="T512" i="72"/>
  <c r="U512" i="72"/>
  <c r="T516" i="72"/>
  <c r="U516" i="72"/>
  <c r="T520" i="72"/>
  <c r="U520" i="72"/>
  <c r="T524" i="72"/>
  <c r="U524" i="72"/>
  <c r="X509" i="72"/>
  <c r="Y509" i="72"/>
  <c r="X513" i="72"/>
  <c r="Y513" i="72"/>
  <c r="X517" i="72"/>
  <c r="Y517" i="72"/>
  <c r="X521" i="72"/>
  <c r="Y521" i="72"/>
  <c r="X525" i="72"/>
  <c r="Y525" i="72"/>
  <c r="Q293" i="72"/>
  <c r="P268" i="72"/>
  <c r="O268" i="72"/>
  <c r="Q221" i="72"/>
  <c r="O196" i="72"/>
  <c r="P196" i="72"/>
  <c r="P28" i="72"/>
  <c r="P29" i="72" s="1"/>
  <c r="Q53" i="72"/>
  <c r="O28" i="72"/>
  <c r="O29" i="72" s="1"/>
  <c r="AA178" i="72"/>
  <c r="U528" i="72"/>
  <c r="AA378" i="72"/>
  <c r="AA53" i="72"/>
  <c r="AA503" i="72"/>
  <c r="R292" i="72" l="1"/>
  <c r="P267" i="72"/>
  <c r="O267" i="72"/>
  <c r="R316" i="72"/>
  <c r="O291" i="72"/>
  <c r="P291" i="72"/>
  <c r="Q340" i="72"/>
  <c r="O315" i="72"/>
  <c r="P315" i="72"/>
  <c r="Q361" i="72"/>
  <c r="P336" i="72"/>
  <c r="O336" i="72"/>
  <c r="O339" i="72"/>
  <c r="P339" i="72"/>
  <c r="Q364" i="72"/>
  <c r="Q360" i="72"/>
  <c r="O335" i="72"/>
  <c r="P335" i="72"/>
  <c r="Q362" i="72"/>
  <c r="O337" i="72"/>
  <c r="P337" i="72"/>
  <c r="Q363" i="72"/>
  <c r="P338" i="72"/>
  <c r="O338" i="72"/>
  <c r="Q358" i="72"/>
  <c r="P333" i="72"/>
  <c r="O333" i="72"/>
  <c r="Q359" i="72"/>
  <c r="P334" i="72"/>
  <c r="O334" i="72"/>
  <c r="O642" i="72"/>
  <c r="P642" i="72"/>
  <c r="Z520" i="72"/>
  <c r="Z512" i="72"/>
  <c r="Z519" i="72"/>
  <c r="Z511" i="72"/>
  <c r="Z515" i="72"/>
  <c r="Z516" i="72"/>
  <c r="Z524" i="72"/>
  <c r="Z523" i="72"/>
  <c r="Z527" i="72"/>
  <c r="E554" i="72"/>
  <c r="AA528" i="72"/>
  <c r="AA516" i="72"/>
  <c r="Z522" i="72"/>
  <c r="Z514" i="72"/>
  <c r="E530" i="72"/>
  <c r="Z526" i="72"/>
  <c r="AA524" i="72"/>
  <c r="Z518" i="72"/>
  <c r="Z510" i="72"/>
  <c r="AA520" i="72"/>
  <c r="AA512" i="72"/>
  <c r="AA522" i="72"/>
  <c r="AA526" i="72"/>
  <c r="AA518" i="72"/>
  <c r="AA510" i="72"/>
  <c r="AA523" i="72"/>
  <c r="AA515" i="72"/>
  <c r="AA514" i="72"/>
  <c r="AA527" i="72"/>
  <c r="AA519" i="72"/>
  <c r="AA511" i="72"/>
  <c r="O644" i="72"/>
  <c r="P644" i="72"/>
  <c r="Z521" i="72"/>
  <c r="Z513" i="72"/>
  <c r="Q342" i="72"/>
  <c r="X533" i="72"/>
  <c r="N554" i="72"/>
  <c r="N555" i="72" s="1"/>
  <c r="Y533" i="72"/>
  <c r="Y554" i="72" s="1"/>
  <c r="V540" i="72"/>
  <c r="W540" i="72"/>
  <c r="V536" i="72"/>
  <c r="W536" i="72"/>
  <c r="V552" i="72"/>
  <c r="W552" i="72"/>
  <c r="O554" i="72"/>
  <c r="V535" i="72"/>
  <c r="W535" i="72"/>
  <c r="V539" i="72"/>
  <c r="W539" i="72"/>
  <c r="V543" i="72"/>
  <c r="W543" i="72"/>
  <c r="V547" i="72"/>
  <c r="W547" i="72"/>
  <c r="V551" i="72"/>
  <c r="W551" i="72"/>
  <c r="V534" i="72"/>
  <c r="W534" i="72"/>
  <c r="V538" i="72"/>
  <c r="W538" i="72"/>
  <c r="V542" i="72"/>
  <c r="W542" i="72"/>
  <c r="V546" i="72"/>
  <c r="W546" i="72"/>
  <c r="V550" i="72"/>
  <c r="W550" i="72"/>
  <c r="D554" i="72"/>
  <c r="T536" i="72"/>
  <c r="U536" i="72"/>
  <c r="T540" i="72"/>
  <c r="U540" i="72"/>
  <c r="T544" i="72"/>
  <c r="U544" i="72"/>
  <c r="T548" i="72"/>
  <c r="U548" i="72"/>
  <c r="T552" i="72"/>
  <c r="U552" i="72"/>
  <c r="X529" i="72"/>
  <c r="Q318" i="72"/>
  <c r="P293" i="72"/>
  <c r="O293" i="72"/>
  <c r="AA525" i="72"/>
  <c r="AA517" i="72"/>
  <c r="AA509" i="72"/>
  <c r="Q174" i="72"/>
  <c r="P149" i="72"/>
  <c r="O149" i="72"/>
  <c r="V544" i="72"/>
  <c r="W544" i="72"/>
  <c r="T535" i="72"/>
  <c r="U535" i="72"/>
  <c r="T551" i="72"/>
  <c r="U551" i="72"/>
  <c r="T547" i="72"/>
  <c r="U547" i="72"/>
  <c r="V548" i="72"/>
  <c r="W548" i="72"/>
  <c r="T534" i="72"/>
  <c r="U534" i="72"/>
  <c r="T538" i="72"/>
  <c r="U538" i="72"/>
  <c r="T542" i="72"/>
  <c r="U542" i="72"/>
  <c r="T546" i="72"/>
  <c r="U546" i="72"/>
  <c r="T550" i="72"/>
  <c r="U550" i="72"/>
  <c r="L554" i="72"/>
  <c r="L555" i="72" s="1"/>
  <c r="T533" i="72"/>
  <c r="U533" i="72"/>
  <c r="T537" i="72"/>
  <c r="U537" i="72"/>
  <c r="T541" i="72"/>
  <c r="U541" i="72"/>
  <c r="T545" i="72"/>
  <c r="U545" i="72"/>
  <c r="T549" i="72"/>
  <c r="U549" i="72"/>
  <c r="T553" i="72"/>
  <c r="U553" i="72"/>
  <c r="X534" i="72"/>
  <c r="Y534" i="72"/>
  <c r="X538" i="72"/>
  <c r="Y538" i="72"/>
  <c r="X542" i="72"/>
  <c r="Y542" i="72"/>
  <c r="X546" i="72"/>
  <c r="Y546" i="72"/>
  <c r="X550" i="72"/>
  <c r="Y550" i="72"/>
  <c r="Q246" i="72"/>
  <c r="P221" i="72"/>
  <c r="O221" i="72"/>
  <c r="Q126" i="72"/>
  <c r="P101" i="72"/>
  <c r="O101" i="72"/>
  <c r="Q366" i="72"/>
  <c r="U529" i="72"/>
  <c r="AA508" i="72"/>
  <c r="AA529" i="72" s="1"/>
  <c r="Q222" i="72"/>
  <c r="O197" i="72"/>
  <c r="P197" i="72"/>
  <c r="V529" i="72"/>
  <c r="Z525" i="72"/>
  <c r="Z517" i="72"/>
  <c r="Z509" i="72"/>
  <c r="Q150" i="72"/>
  <c r="O125" i="72"/>
  <c r="P125" i="72"/>
  <c r="Q198" i="72"/>
  <c r="P173" i="72"/>
  <c r="O173" i="72"/>
  <c r="T539" i="72"/>
  <c r="U539" i="72"/>
  <c r="X545" i="72"/>
  <c r="Y545" i="72"/>
  <c r="X541" i="72"/>
  <c r="Y541" i="72"/>
  <c r="P578" i="72"/>
  <c r="L578" i="72"/>
  <c r="O577" i="72"/>
  <c r="E577" i="72"/>
  <c r="N576" i="72"/>
  <c r="D576" i="72"/>
  <c r="M575" i="72"/>
  <c r="C575" i="72"/>
  <c r="P574" i="72"/>
  <c r="L574" i="72"/>
  <c r="O573" i="72"/>
  <c r="E573" i="72"/>
  <c r="N572" i="72"/>
  <c r="D572" i="72"/>
  <c r="M571" i="72"/>
  <c r="C571" i="72"/>
  <c r="P570" i="72"/>
  <c r="L570" i="72"/>
  <c r="O569" i="72"/>
  <c r="E569" i="72"/>
  <c r="N568" i="72"/>
  <c r="D568" i="72"/>
  <c r="M567" i="72"/>
  <c r="C567" i="72"/>
  <c r="P566" i="72"/>
  <c r="L566" i="72"/>
  <c r="O565" i="72"/>
  <c r="E565" i="72"/>
  <c r="N564" i="72"/>
  <c r="D564" i="72"/>
  <c r="O578" i="72"/>
  <c r="E578" i="72"/>
  <c r="N577" i="72"/>
  <c r="D577" i="72"/>
  <c r="M576" i="72"/>
  <c r="C576" i="72"/>
  <c r="P575" i="72"/>
  <c r="L575" i="72"/>
  <c r="O574" i="72"/>
  <c r="E574" i="72"/>
  <c r="N573" i="72"/>
  <c r="D573" i="72"/>
  <c r="M572" i="72"/>
  <c r="C572" i="72"/>
  <c r="P571" i="72"/>
  <c r="L571" i="72"/>
  <c r="O570" i="72"/>
  <c r="E570" i="72"/>
  <c r="N569" i="72"/>
  <c r="D569" i="72"/>
  <c r="M568" i="72"/>
  <c r="C568" i="72"/>
  <c r="P567" i="72"/>
  <c r="L567" i="72"/>
  <c r="O566" i="72"/>
  <c r="E566" i="72"/>
  <c r="N565" i="72"/>
  <c r="D565" i="72"/>
  <c r="M564" i="72"/>
  <c r="C564" i="72"/>
  <c r="P563" i="72"/>
  <c r="A581" i="72"/>
  <c r="N578" i="72"/>
  <c r="C577" i="72"/>
  <c r="L576" i="72"/>
  <c r="O575" i="72"/>
  <c r="D574" i="72"/>
  <c r="M573" i="72"/>
  <c r="P572" i="72"/>
  <c r="E571" i="72"/>
  <c r="N570" i="72"/>
  <c r="C569" i="72"/>
  <c r="L568" i="72"/>
  <c r="O567" i="72"/>
  <c r="D566" i="72"/>
  <c r="M565" i="72"/>
  <c r="P564" i="72"/>
  <c r="N563" i="72"/>
  <c r="D563" i="72"/>
  <c r="M562" i="72"/>
  <c r="C562" i="72"/>
  <c r="P561" i="72"/>
  <c r="L561" i="72"/>
  <c r="O560" i="72"/>
  <c r="E560" i="72"/>
  <c r="N559" i="72"/>
  <c r="D559" i="72"/>
  <c r="M558" i="72"/>
  <c r="M578" i="72"/>
  <c r="P577" i="72"/>
  <c r="E576" i="72"/>
  <c r="N575" i="72"/>
  <c r="C574" i="72"/>
  <c r="L573" i="72"/>
  <c r="O572" i="72"/>
  <c r="D571" i="72"/>
  <c r="M570" i="72"/>
  <c r="P569" i="72"/>
  <c r="E568" i="72"/>
  <c r="N567" i="72"/>
  <c r="C566" i="72"/>
  <c r="L565" i="72"/>
  <c r="O564" i="72"/>
  <c r="M563" i="72"/>
  <c r="C563" i="72"/>
  <c r="P562" i="72"/>
  <c r="L562" i="72"/>
  <c r="O561" i="72"/>
  <c r="E561" i="72"/>
  <c r="N560" i="72"/>
  <c r="D560" i="72"/>
  <c r="M559" i="72"/>
  <c r="C559" i="72"/>
  <c r="P558" i="72"/>
  <c r="L558" i="72"/>
  <c r="D578" i="72"/>
  <c r="M577" i="72"/>
  <c r="P576" i="72"/>
  <c r="E575" i="72"/>
  <c r="N574" i="72"/>
  <c r="C573" i="72"/>
  <c r="L572" i="72"/>
  <c r="O571" i="72"/>
  <c r="D570" i="72"/>
  <c r="M569" i="72"/>
  <c r="P568" i="72"/>
  <c r="E567" i="72"/>
  <c r="N566" i="72"/>
  <c r="C565" i="72"/>
  <c r="L564" i="72"/>
  <c r="L563" i="72"/>
  <c r="O562" i="72"/>
  <c r="E562" i="72"/>
  <c r="N561" i="72"/>
  <c r="D561" i="72"/>
  <c r="M560" i="72"/>
  <c r="C560" i="72"/>
  <c r="P559" i="72"/>
  <c r="L559" i="72"/>
  <c r="O558" i="72"/>
  <c r="L577" i="72"/>
  <c r="E572" i="72"/>
  <c r="D567" i="72"/>
  <c r="P565" i="72"/>
  <c r="C561" i="72"/>
  <c r="L560" i="72"/>
  <c r="O559" i="72"/>
  <c r="D575" i="72"/>
  <c r="P573" i="72"/>
  <c r="C570" i="72"/>
  <c r="O568" i="72"/>
  <c r="O563" i="72"/>
  <c r="E559" i="72"/>
  <c r="N558" i="72"/>
  <c r="C578" i="72"/>
  <c r="O576" i="72"/>
  <c r="N571" i="72"/>
  <c r="M566" i="72"/>
  <c r="E563" i="72"/>
  <c r="N562" i="72"/>
  <c r="M561" i="72"/>
  <c r="E564" i="72"/>
  <c r="P560" i="72"/>
  <c r="L569" i="72"/>
  <c r="M574" i="72"/>
  <c r="D562" i="72"/>
  <c r="T543" i="72"/>
  <c r="U543" i="72"/>
  <c r="X536" i="72"/>
  <c r="Y536" i="72"/>
  <c r="X540" i="72"/>
  <c r="Y540" i="72"/>
  <c r="X544" i="72"/>
  <c r="Y544" i="72"/>
  <c r="X548" i="72"/>
  <c r="Y548" i="72"/>
  <c r="X552" i="72"/>
  <c r="Y552" i="72"/>
  <c r="P554" i="72"/>
  <c r="X535" i="72"/>
  <c r="Y535" i="72"/>
  <c r="X539" i="72"/>
  <c r="Y539" i="72"/>
  <c r="X543" i="72"/>
  <c r="Y543" i="72"/>
  <c r="X547" i="72"/>
  <c r="Y547" i="72"/>
  <c r="X551" i="72"/>
  <c r="Y551" i="72"/>
  <c r="Q78" i="72"/>
  <c r="P53" i="72"/>
  <c r="P54" i="72" s="1"/>
  <c r="E16" i="78" s="1"/>
  <c r="O53" i="72"/>
  <c r="O54" i="72" s="1"/>
  <c r="T529" i="72"/>
  <c r="Z508" i="72"/>
  <c r="Q645" i="72"/>
  <c r="Q270" i="72"/>
  <c r="P245" i="72"/>
  <c r="O245" i="72"/>
  <c r="Q102" i="72"/>
  <c r="O77" i="72"/>
  <c r="P77" i="72"/>
  <c r="Q294" i="72"/>
  <c r="P269" i="72"/>
  <c r="O269" i="72"/>
  <c r="AA521" i="72"/>
  <c r="AA513" i="72"/>
  <c r="X549" i="72"/>
  <c r="Y549" i="72"/>
  <c r="X537" i="72"/>
  <c r="Y537" i="72"/>
  <c r="X553" i="72"/>
  <c r="Y553" i="72"/>
  <c r="C554" i="72"/>
  <c r="M554" i="72"/>
  <c r="M555" i="72" s="1"/>
  <c r="V533" i="72"/>
  <c r="W533" i="72"/>
  <c r="W554" i="72" s="1"/>
  <c r="V537" i="72"/>
  <c r="W537" i="72"/>
  <c r="V541" i="72"/>
  <c r="W541" i="72"/>
  <c r="V545" i="72"/>
  <c r="W545" i="72"/>
  <c r="V549" i="72"/>
  <c r="W549" i="72"/>
  <c r="V553" i="72"/>
  <c r="W553" i="72"/>
  <c r="R341" i="72" l="1"/>
  <c r="O316" i="72"/>
  <c r="P316" i="72"/>
  <c r="O340" i="72"/>
  <c r="Q365" i="72"/>
  <c r="P340" i="72"/>
  <c r="R317" i="72"/>
  <c r="O292" i="72"/>
  <c r="P292" i="72"/>
  <c r="Q384" i="72"/>
  <c r="Q409" i="72" s="1"/>
  <c r="Q434" i="72" s="1"/>
  <c r="Q459" i="72" s="1"/>
  <c r="Q484" i="72" s="1"/>
  <c r="Q509" i="72" s="1"/>
  <c r="Q534" i="72" s="1"/>
  <c r="Q559" i="72" s="1"/>
  <c r="Q584" i="72" s="1"/>
  <c r="Q609" i="72" s="1"/>
  <c r="O359" i="72"/>
  <c r="P359" i="72"/>
  <c r="Q385" i="72"/>
  <c r="Q410" i="72" s="1"/>
  <c r="Q435" i="72" s="1"/>
  <c r="Q460" i="72" s="1"/>
  <c r="Q485" i="72" s="1"/>
  <c r="Q510" i="72" s="1"/>
  <c r="Q535" i="72" s="1"/>
  <c r="Q560" i="72" s="1"/>
  <c r="Q585" i="72" s="1"/>
  <c r="Q610" i="72" s="1"/>
  <c r="P360" i="72"/>
  <c r="O360" i="72"/>
  <c r="Q387" i="72"/>
  <c r="Q412" i="72" s="1"/>
  <c r="Q437" i="72" s="1"/>
  <c r="Q462" i="72" s="1"/>
  <c r="Q487" i="72" s="1"/>
  <c r="Q512" i="72" s="1"/>
  <c r="Q537" i="72" s="1"/>
  <c r="Q562" i="72" s="1"/>
  <c r="Q587" i="72" s="1"/>
  <c r="Q612" i="72" s="1"/>
  <c r="P362" i="72"/>
  <c r="O362" i="72"/>
  <c r="Q389" i="72"/>
  <c r="Q414" i="72" s="1"/>
  <c r="Q439" i="72" s="1"/>
  <c r="Q464" i="72" s="1"/>
  <c r="Q489" i="72" s="1"/>
  <c r="Q514" i="72" s="1"/>
  <c r="Q539" i="72" s="1"/>
  <c r="Q564" i="72" s="1"/>
  <c r="Q589" i="72" s="1"/>
  <c r="Q614" i="72" s="1"/>
  <c r="O364" i="72"/>
  <c r="P364" i="72"/>
  <c r="Q383" i="72"/>
  <c r="Q408" i="72" s="1"/>
  <c r="Q433" i="72" s="1"/>
  <c r="Q458" i="72" s="1"/>
  <c r="Q483" i="72" s="1"/>
  <c r="Q508" i="72" s="1"/>
  <c r="Q533" i="72" s="1"/>
  <c r="Q558" i="72" s="1"/>
  <c r="Q583" i="72" s="1"/>
  <c r="Q608" i="72" s="1"/>
  <c r="P358" i="72"/>
  <c r="O358" i="72"/>
  <c r="O363" i="72"/>
  <c r="P363" i="72"/>
  <c r="Q388" i="72"/>
  <c r="Q413" i="72" s="1"/>
  <c r="Q438" i="72" s="1"/>
  <c r="Q463" i="72" s="1"/>
  <c r="Q488" i="72" s="1"/>
  <c r="Q513" i="72" s="1"/>
  <c r="Q538" i="72" s="1"/>
  <c r="Q563" i="72" s="1"/>
  <c r="Q588" i="72" s="1"/>
  <c r="Q613" i="72" s="1"/>
  <c r="Q386" i="72"/>
  <c r="Q411" i="72" s="1"/>
  <c r="Q436" i="72" s="1"/>
  <c r="Q461" i="72" s="1"/>
  <c r="Q486" i="72" s="1"/>
  <c r="Q511" i="72" s="1"/>
  <c r="Q536" i="72" s="1"/>
  <c r="Q561" i="72" s="1"/>
  <c r="Q586" i="72" s="1"/>
  <c r="Q611" i="72" s="1"/>
  <c r="O361" i="72"/>
  <c r="P361" i="72"/>
  <c r="Z529" i="72"/>
  <c r="AA543" i="72"/>
  <c r="T569" i="72"/>
  <c r="U569" i="72"/>
  <c r="X562" i="72"/>
  <c r="Y562" i="72"/>
  <c r="O579" i="72"/>
  <c r="V560" i="72"/>
  <c r="W560" i="72"/>
  <c r="X566" i="72"/>
  <c r="Y566" i="72"/>
  <c r="X574" i="72"/>
  <c r="Y574" i="72"/>
  <c r="V559" i="72"/>
  <c r="W559" i="72"/>
  <c r="V563" i="72"/>
  <c r="W563" i="72"/>
  <c r="X567" i="72"/>
  <c r="Y567" i="72"/>
  <c r="X575" i="72"/>
  <c r="Y575" i="72"/>
  <c r="M579" i="72"/>
  <c r="M580" i="72" s="1"/>
  <c r="V558" i="72"/>
  <c r="W558" i="72"/>
  <c r="W579" i="72" s="1"/>
  <c r="V562" i="72"/>
  <c r="W562" i="72"/>
  <c r="V565" i="72"/>
  <c r="W565" i="72"/>
  <c r="V573" i="72"/>
  <c r="W573" i="72"/>
  <c r="AA539" i="72"/>
  <c r="Q223" i="72"/>
  <c r="O198" i="72"/>
  <c r="P198" i="72"/>
  <c r="AA549" i="72"/>
  <c r="AA541" i="72"/>
  <c r="U554" i="72"/>
  <c r="AA533" i="72"/>
  <c r="AA554" i="72" s="1"/>
  <c r="Z550" i="72"/>
  <c r="Z542" i="72"/>
  <c r="Z534" i="72"/>
  <c r="Z547" i="72"/>
  <c r="Z535" i="72"/>
  <c r="Z552" i="72"/>
  <c r="Z544" i="72"/>
  <c r="Z536" i="72"/>
  <c r="Q295" i="72"/>
  <c r="O270" i="72"/>
  <c r="P270" i="72"/>
  <c r="Z543" i="72"/>
  <c r="T559" i="72"/>
  <c r="U559" i="72"/>
  <c r="T563" i="72"/>
  <c r="U563" i="72"/>
  <c r="L579" i="72"/>
  <c r="L580" i="72" s="1"/>
  <c r="T558" i="72"/>
  <c r="U558" i="72"/>
  <c r="T562" i="72"/>
  <c r="U562" i="72"/>
  <c r="D579" i="72"/>
  <c r="T561" i="72"/>
  <c r="U561" i="72"/>
  <c r="X570" i="72"/>
  <c r="Y570" i="72"/>
  <c r="X578" i="72"/>
  <c r="Y578" i="72"/>
  <c r="V564" i="72"/>
  <c r="W564" i="72"/>
  <c r="V568" i="72"/>
  <c r="W568" i="72"/>
  <c r="V572" i="72"/>
  <c r="W572" i="72"/>
  <c r="V576" i="72"/>
  <c r="W576" i="72"/>
  <c r="V567" i="72"/>
  <c r="W567" i="72"/>
  <c r="V571" i="72"/>
  <c r="W571" i="72"/>
  <c r="V575" i="72"/>
  <c r="W575" i="72"/>
  <c r="Z539" i="72"/>
  <c r="Q646" i="72"/>
  <c r="Q271" i="72"/>
  <c r="P246" i="72"/>
  <c r="O246" i="72"/>
  <c r="Z549" i="72"/>
  <c r="Z541" i="72"/>
  <c r="T554" i="72"/>
  <c r="Z533" i="72"/>
  <c r="AA546" i="72"/>
  <c r="AA538" i="72"/>
  <c r="AA551" i="72"/>
  <c r="Q199" i="72"/>
  <c r="P174" i="72"/>
  <c r="O174" i="72"/>
  <c r="Q343" i="72"/>
  <c r="O318" i="72"/>
  <c r="P318" i="72"/>
  <c r="AA548" i="72"/>
  <c r="AA540" i="72"/>
  <c r="V554" i="72"/>
  <c r="Q127" i="72"/>
  <c r="O102" i="72"/>
  <c r="P102" i="72"/>
  <c r="O645" i="72"/>
  <c r="P645" i="72"/>
  <c r="Q103" i="72"/>
  <c r="O78" i="72"/>
  <c r="O79" i="72" s="1"/>
  <c r="F10" i="78" s="1"/>
  <c r="P78" i="72"/>
  <c r="P79" i="72" s="1"/>
  <c r="F16" i="78" s="1"/>
  <c r="V566" i="72"/>
  <c r="W566" i="72"/>
  <c r="N579" i="72"/>
  <c r="N580" i="72" s="1"/>
  <c r="X558" i="72"/>
  <c r="Y558" i="72"/>
  <c r="Y579" i="72" s="1"/>
  <c r="T560" i="72"/>
  <c r="U560" i="72"/>
  <c r="X561" i="72"/>
  <c r="Y561" i="72"/>
  <c r="T564" i="72"/>
  <c r="U564" i="72"/>
  <c r="T572" i="72"/>
  <c r="U572" i="72"/>
  <c r="P579" i="72"/>
  <c r="X560" i="72"/>
  <c r="Y560" i="72"/>
  <c r="T565" i="72"/>
  <c r="U565" i="72"/>
  <c r="T573" i="72"/>
  <c r="U573" i="72"/>
  <c r="X559" i="72"/>
  <c r="Y559" i="72"/>
  <c r="X563" i="72"/>
  <c r="Y563" i="72"/>
  <c r="P603" i="72"/>
  <c r="L603" i="72"/>
  <c r="O602" i="72"/>
  <c r="E602" i="72"/>
  <c r="N601" i="72"/>
  <c r="D601" i="72"/>
  <c r="M600" i="72"/>
  <c r="C600" i="72"/>
  <c r="P599" i="72"/>
  <c r="L599" i="72"/>
  <c r="O603" i="72"/>
  <c r="D603" i="72"/>
  <c r="M602" i="72"/>
  <c r="P601" i="72"/>
  <c r="E601" i="72"/>
  <c r="N600" i="72"/>
  <c r="E599" i="72"/>
  <c r="O598" i="72"/>
  <c r="E598" i="72"/>
  <c r="N597" i="72"/>
  <c r="D597" i="72"/>
  <c r="M596" i="72"/>
  <c r="C596" i="72"/>
  <c r="P595" i="72"/>
  <c r="L595" i="72"/>
  <c r="O594" i="72"/>
  <c r="E594" i="72"/>
  <c r="N593" i="72"/>
  <c r="D593" i="72"/>
  <c r="M592" i="72"/>
  <c r="C592" i="72"/>
  <c r="P591" i="72"/>
  <c r="L591" i="72"/>
  <c r="O590" i="72"/>
  <c r="E590" i="72"/>
  <c r="N589" i="72"/>
  <c r="D589" i="72"/>
  <c r="M588" i="72"/>
  <c r="C588" i="72"/>
  <c r="P587" i="72"/>
  <c r="L587" i="72"/>
  <c r="O586" i="72"/>
  <c r="E586" i="72"/>
  <c r="N585" i="72"/>
  <c r="D585" i="72"/>
  <c r="M584" i="72"/>
  <c r="C584" i="72"/>
  <c r="P583" i="72"/>
  <c r="L583" i="72"/>
  <c r="A606" i="72"/>
  <c r="N603" i="72"/>
  <c r="C603" i="72"/>
  <c r="L602" i="72"/>
  <c r="O601" i="72"/>
  <c r="C601" i="72"/>
  <c r="L600" i="72"/>
  <c r="O599" i="72"/>
  <c r="D599" i="72"/>
  <c r="N598" i="72"/>
  <c r="D598" i="72"/>
  <c r="M597" i="72"/>
  <c r="C597" i="72"/>
  <c r="P596" i="72"/>
  <c r="L596" i="72"/>
  <c r="O595" i="72"/>
  <c r="E595" i="72"/>
  <c r="N594" i="72"/>
  <c r="D594" i="72"/>
  <c r="M593" i="72"/>
  <c r="C593" i="72"/>
  <c r="P592" i="72"/>
  <c r="L592" i="72"/>
  <c r="O591" i="72"/>
  <c r="E591" i="72"/>
  <c r="N590" i="72"/>
  <c r="D590" i="72"/>
  <c r="M589" i="72"/>
  <c r="C589" i="72"/>
  <c r="P588" i="72"/>
  <c r="L588" i="72"/>
  <c r="O587" i="72"/>
  <c r="E587" i="72"/>
  <c r="N586" i="72"/>
  <c r="D586" i="72"/>
  <c r="M585" i="72"/>
  <c r="C585" i="72"/>
  <c r="P584" i="72"/>
  <c r="L584" i="72"/>
  <c r="O583" i="72"/>
  <c r="M603" i="72"/>
  <c r="P602" i="72"/>
  <c r="D602" i="72"/>
  <c r="M601" i="72"/>
  <c r="P600" i="72"/>
  <c r="E600" i="72"/>
  <c r="N599" i="72"/>
  <c r="C599" i="72"/>
  <c r="M598" i="72"/>
  <c r="C598" i="72"/>
  <c r="P597" i="72"/>
  <c r="L597" i="72"/>
  <c r="O596" i="72"/>
  <c r="E596" i="72"/>
  <c r="N595" i="72"/>
  <c r="D595" i="72"/>
  <c r="M594" i="72"/>
  <c r="C594" i="72"/>
  <c r="P593" i="72"/>
  <c r="L593" i="72"/>
  <c r="O592" i="72"/>
  <c r="E592" i="72"/>
  <c r="N591" i="72"/>
  <c r="D591" i="72"/>
  <c r="M590" i="72"/>
  <c r="C590" i="72"/>
  <c r="P589" i="72"/>
  <c r="L589" i="72"/>
  <c r="O588" i="72"/>
  <c r="E588" i="72"/>
  <c r="N587" i="72"/>
  <c r="D587" i="72"/>
  <c r="M586" i="72"/>
  <c r="C586" i="72"/>
  <c r="P585" i="72"/>
  <c r="L585" i="72"/>
  <c r="O584" i="72"/>
  <c r="E584" i="72"/>
  <c r="N583" i="72"/>
  <c r="N602" i="72"/>
  <c r="L601" i="72"/>
  <c r="D600" i="72"/>
  <c r="E597" i="72"/>
  <c r="N596" i="72"/>
  <c r="D592" i="72"/>
  <c r="M591" i="72"/>
  <c r="P590" i="72"/>
  <c r="C587" i="72"/>
  <c r="L586" i="72"/>
  <c r="O585" i="72"/>
  <c r="E603" i="72"/>
  <c r="C602" i="72"/>
  <c r="D596" i="72"/>
  <c r="M595" i="72"/>
  <c r="P594" i="72"/>
  <c r="C591" i="72"/>
  <c r="L590" i="72"/>
  <c r="O589" i="72"/>
  <c r="E585" i="72"/>
  <c r="N584" i="72"/>
  <c r="P598" i="72"/>
  <c r="C595" i="72"/>
  <c r="L594" i="72"/>
  <c r="O593" i="72"/>
  <c r="E589" i="72"/>
  <c r="N588" i="72"/>
  <c r="D584" i="72"/>
  <c r="M583" i="72"/>
  <c r="L598" i="72"/>
  <c r="D588" i="72"/>
  <c r="O597" i="72"/>
  <c r="M587" i="72"/>
  <c r="O600" i="72"/>
  <c r="E593" i="72"/>
  <c r="P586" i="72"/>
  <c r="M599" i="72"/>
  <c r="N592" i="72"/>
  <c r="T567" i="72"/>
  <c r="U567" i="72"/>
  <c r="T571" i="72"/>
  <c r="U571" i="72"/>
  <c r="T575" i="72"/>
  <c r="U575" i="72"/>
  <c r="T566" i="72"/>
  <c r="Z566" i="72" s="1"/>
  <c r="U566" i="72"/>
  <c r="T570" i="72"/>
  <c r="U570" i="72"/>
  <c r="T574" i="72"/>
  <c r="U574" i="72"/>
  <c r="T578" i="72"/>
  <c r="U578" i="72"/>
  <c r="Q247" i="72"/>
  <c r="O222" i="72"/>
  <c r="P222" i="72"/>
  <c r="Q151" i="72"/>
  <c r="P126" i="72"/>
  <c r="O126" i="72"/>
  <c r="AA553" i="72"/>
  <c r="AA545" i="72"/>
  <c r="AA537" i="72"/>
  <c r="E555" i="72"/>
  <c r="Z546" i="72"/>
  <c r="Z538" i="72"/>
  <c r="Z551" i="72"/>
  <c r="Z548" i="72"/>
  <c r="Z540" i="72"/>
  <c r="Q367" i="72"/>
  <c r="Q319" i="72"/>
  <c r="P294" i="72"/>
  <c r="O294" i="72"/>
  <c r="V574" i="72"/>
  <c r="W574" i="72"/>
  <c r="V561" i="72"/>
  <c r="W561" i="72"/>
  <c r="X571" i="72"/>
  <c r="Y571" i="72"/>
  <c r="E579" i="72"/>
  <c r="T577" i="72"/>
  <c r="U577" i="72"/>
  <c r="V569" i="72"/>
  <c r="W569" i="72"/>
  <c r="V577" i="72"/>
  <c r="W577" i="72"/>
  <c r="C579" i="72"/>
  <c r="V570" i="72"/>
  <c r="W570" i="72"/>
  <c r="V578" i="72"/>
  <c r="W578" i="72"/>
  <c r="T568" i="72"/>
  <c r="U568" i="72"/>
  <c r="T576" i="72"/>
  <c r="U576" i="72"/>
  <c r="X565" i="72"/>
  <c r="Y565" i="72"/>
  <c r="X569" i="72"/>
  <c r="Y569" i="72"/>
  <c r="X573" i="72"/>
  <c r="Y573" i="72"/>
  <c r="X577" i="72"/>
  <c r="Y577" i="72"/>
  <c r="X564" i="72"/>
  <c r="Y564" i="72"/>
  <c r="X568" i="72"/>
  <c r="Y568" i="72"/>
  <c r="X572" i="72"/>
  <c r="Y572" i="72"/>
  <c r="X576" i="72"/>
  <c r="Y576" i="72"/>
  <c r="Q175" i="72"/>
  <c r="P150" i="72"/>
  <c r="O150" i="72"/>
  <c r="Q391" i="72"/>
  <c r="Q416" i="72" s="1"/>
  <c r="Q441" i="72" s="1"/>
  <c r="Q466" i="72" s="1"/>
  <c r="Q491" i="72" s="1"/>
  <c r="Q516" i="72" s="1"/>
  <c r="Q541" i="72" s="1"/>
  <c r="Q566" i="72" s="1"/>
  <c r="Q591" i="72" s="1"/>
  <c r="Q616" i="72" s="1"/>
  <c r="Z553" i="72"/>
  <c r="Z545" i="72"/>
  <c r="Z537" i="72"/>
  <c r="AA550" i="72"/>
  <c r="AA542" i="72"/>
  <c r="AA534" i="72"/>
  <c r="AA547" i="72"/>
  <c r="AA535" i="72"/>
  <c r="AA552" i="72"/>
  <c r="AA544" i="72"/>
  <c r="AA536" i="72"/>
  <c r="X554" i="72"/>
  <c r="I21" i="16"/>
  <c r="R342" i="72" l="1"/>
  <c r="P317" i="72"/>
  <c r="O317" i="72"/>
  <c r="P365" i="72"/>
  <c r="Q390" i="72"/>
  <c r="Q415" i="72" s="1"/>
  <c r="Q440" i="72" s="1"/>
  <c r="Q465" i="72" s="1"/>
  <c r="Q490" i="72" s="1"/>
  <c r="Q515" i="72" s="1"/>
  <c r="Q540" i="72" s="1"/>
  <c r="Q565" i="72" s="1"/>
  <c r="Q590" i="72" s="1"/>
  <c r="Q615" i="72" s="1"/>
  <c r="O365" i="72"/>
  <c r="R366" i="72"/>
  <c r="P341" i="72"/>
  <c r="O341" i="72"/>
  <c r="Z562" i="72"/>
  <c r="AA567" i="72"/>
  <c r="Z575" i="72"/>
  <c r="Z567" i="72"/>
  <c r="AA566" i="72"/>
  <c r="AA575" i="72"/>
  <c r="AA562" i="72"/>
  <c r="AA560" i="72"/>
  <c r="Q200" i="72"/>
  <c r="P175" i="72"/>
  <c r="O175" i="72"/>
  <c r="Z568" i="72"/>
  <c r="Q392" i="72"/>
  <c r="Q417" i="72" s="1"/>
  <c r="Q442" i="72" s="1"/>
  <c r="Q467" i="72" s="1"/>
  <c r="Q492" i="72" s="1"/>
  <c r="Q517" i="72" s="1"/>
  <c r="Q542" i="72" s="1"/>
  <c r="Q567" i="72" s="1"/>
  <c r="Q592" i="72" s="1"/>
  <c r="Q617" i="72" s="1"/>
  <c r="Q647" i="72"/>
  <c r="Q272" i="72"/>
  <c r="O247" i="72"/>
  <c r="P247" i="72"/>
  <c r="Z574" i="72"/>
  <c r="Z571" i="72"/>
  <c r="V599" i="72"/>
  <c r="W599" i="72"/>
  <c r="V587" i="72"/>
  <c r="W587" i="72"/>
  <c r="M604" i="72"/>
  <c r="M605" i="72" s="1"/>
  <c r="V583" i="72"/>
  <c r="W583" i="72"/>
  <c r="W604" i="72" s="1"/>
  <c r="X584" i="72"/>
  <c r="Y584" i="72"/>
  <c r="X596" i="72"/>
  <c r="Y596" i="72"/>
  <c r="X602" i="72"/>
  <c r="Y602" i="72"/>
  <c r="T585" i="72"/>
  <c r="U585" i="72"/>
  <c r="T589" i="72"/>
  <c r="U589" i="72"/>
  <c r="T593" i="72"/>
  <c r="U593" i="72"/>
  <c r="T597" i="72"/>
  <c r="U597" i="72"/>
  <c r="V601" i="72"/>
  <c r="W601" i="72"/>
  <c r="O604" i="72"/>
  <c r="V585" i="72"/>
  <c r="W585" i="72"/>
  <c r="V589" i="72"/>
  <c r="W589" i="72"/>
  <c r="V593" i="72"/>
  <c r="W593" i="72"/>
  <c r="V597" i="72"/>
  <c r="W597" i="72"/>
  <c r="T602" i="72"/>
  <c r="U602" i="72"/>
  <c r="T583" i="72"/>
  <c r="L604" i="72"/>
  <c r="L605" i="72" s="1"/>
  <c r="U583" i="72"/>
  <c r="T587" i="72"/>
  <c r="U587" i="72"/>
  <c r="T591" i="72"/>
  <c r="U591" i="72"/>
  <c r="T595" i="72"/>
  <c r="U595" i="72"/>
  <c r="V602" i="72"/>
  <c r="W602" i="72"/>
  <c r="X601" i="72"/>
  <c r="Y601" i="72"/>
  <c r="Z565" i="72"/>
  <c r="AA572" i="72"/>
  <c r="Q152" i="72"/>
  <c r="P127" i="72"/>
  <c r="O127" i="72"/>
  <c r="T579" i="72"/>
  <c r="Z558" i="72"/>
  <c r="AA559" i="72"/>
  <c r="Q248" i="72"/>
  <c r="P223" i="72"/>
  <c r="O223" i="72"/>
  <c r="AA569" i="72"/>
  <c r="AA576" i="72"/>
  <c r="Q344" i="72"/>
  <c r="P319" i="72"/>
  <c r="O319" i="72"/>
  <c r="Q176" i="72"/>
  <c r="O151" i="72"/>
  <c r="P151" i="72"/>
  <c r="AA578" i="72"/>
  <c r="AA570" i="72"/>
  <c r="D604" i="72"/>
  <c r="T594" i="72"/>
  <c r="U594" i="72"/>
  <c r="N604" i="72"/>
  <c r="N605" i="72" s="1"/>
  <c r="X583" i="72"/>
  <c r="Y583" i="72"/>
  <c r="Y604" i="72" s="1"/>
  <c r="X587" i="72"/>
  <c r="Y587" i="72"/>
  <c r="X591" i="72"/>
  <c r="Y591" i="72"/>
  <c r="X595" i="72"/>
  <c r="Y595" i="72"/>
  <c r="X599" i="72"/>
  <c r="Y599" i="72"/>
  <c r="T584" i="72"/>
  <c r="U584" i="72"/>
  <c r="T588" i="72"/>
  <c r="U588" i="72"/>
  <c r="T592" i="72"/>
  <c r="U592" i="72"/>
  <c r="T596" i="72"/>
  <c r="U596" i="72"/>
  <c r="T600" i="72"/>
  <c r="U600" i="72"/>
  <c r="P604" i="72"/>
  <c r="X585" i="72"/>
  <c r="Y585" i="72"/>
  <c r="X589" i="72"/>
  <c r="Y589" i="72"/>
  <c r="X593" i="72"/>
  <c r="Y593" i="72"/>
  <c r="X597" i="72"/>
  <c r="Y597" i="72"/>
  <c r="X600" i="72"/>
  <c r="Y600" i="72"/>
  <c r="AA573" i="72"/>
  <c r="Z572" i="72"/>
  <c r="X579" i="72"/>
  <c r="Q296" i="72"/>
  <c r="O271" i="72"/>
  <c r="P271" i="72"/>
  <c r="E580" i="72"/>
  <c r="Z559" i="72"/>
  <c r="Q320" i="72"/>
  <c r="P295" i="72"/>
  <c r="O295" i="72"/>
  <c r="V579" i="72"/>
  <c r="Z569" i="72"/>
  <c r="Z576" i="72"/>
  <c r="AA577" i="72"/>
  <c r="Z578" i="72"/>
  <c r="Z570" i="72"/>
  <c r="X588" i="72"/>
  <c r="Y588" i="72"/>
  <c r="V595" i="72"/>
  <c r="W595" i="72"/>
  <c r="V591" i="72"/>
  <c r="W591" i="72"/>
  <c r="E604" i="72"/>
  <c r="X586" i="72"/>
  <c r="Y586" i="72"/>
  <c r="X590" i="72"/>
  <c r="Y590" i="72"/>
  <c r="X594" i="72"/>
  <c r="Y594" i="72"/>
  <c r="X598" i="72"/>
  <c r="Y598" i="72"/>
  <c r="X603" i="72"/>
  <c r="Y603" i="72"/>
  <c r="C604" i="72"/>
  <c r="V600" i="72"/>
  <c r="W600" i="72"/>
  <c r="Z573" i="72"/>
  <c r="AA564" i="72"/>
  <c r="Q368" i="72"/>
  <c r="O343" i="72"/>
  <c r="P343" i="72"/>
  <c r="O646" i="72"/>
  <c r="P646" i="72"/>
  <c r="AA561" i="72"/>
  <c r="AA563" i="72"/>
  <c r="AA568" i="72"/>
  <c r="Z577" i="72"/>
  <c r="AA574" i="72"/>
  <c r="AA571" i="72"/>
  <c r="X592" i="72"/>
  <c r="Y592" i="72"/>
  <c r="T598" i="72"/>
  <c r="U598" i="72"/>
  <c r="T590" i="72"/>
  <c r="U590" i="72"/>
  <c r="T586" i="72"/>
  <c r="U586" i="72"/>
  <c r="T601" i="72"/>
  <c r="Z601" i="72" s="1"/>
  <c r="U601" i="72"/>
  <c r="V586" i="72"/>
  <c r="W586" i="72"/>
  <c r="V590" i="72"/>
  <c r="W590" i="72"/>
  <c r="V594" i="72"/>
  <c r="W594" i="72"/>
  <c r="V598" i="72"/>
  <c r="W598" i="72"/>
  <c r="V603" i="72"/>
  <c r="W603" i="72"/>
  <c r="P628" i="72"/>
  <c r="L628" i="72"/>
  <c r="O627" i="72"/>
  <c r="E627" i="72"/>
  <c r="N626" i="72"/>
  <c r="D626" i="72"/>
  <c r="M625" i="72"/>
  <c r="C625" i="72"/>
  <c r="P624" i="72"/>
  <c r="L624" i="72"/>
  <c r="O623" i="72"/>
  <c r="E623" i="72"/>
  <c r="N622" i="72"/>
  <c r="D622" i="72"/>
  <c r="M621" i="72"/>
  <c r="C621" i="72"/>
  <c r="P620" i="72"/>
  <c r="L620" i="72"/>
  <c r="O619" i="72"/>
  <c r="E619" i="72"/>
  <c r="N618" i="72"/>
  <c r="D618" i="72"/>
  <c r="M617" i="72"/>
  <c r="C617" i="72"/>
  <c r="P616" i="72"/>
  <c r="L616" i="72"/>
  <c r="O615" i="72"/>
  <c r="E615" i="72"/>
  <c r="N614" i="72"/>
  <c r="D614" i="72"/>
  <c r="M613" i="72"/>
  <c r="C613" i="72"/>
  <c r="P612" i="72"/>
  <c r="L612" i="72"/>
  <c r="O611" i="72"/>
  <c r="E611" i="72"/>
  <c r="N610" i="72"/>
  <c r="D610" i="72"/>
  <c r="M609" i="72"/>
  <c r="C609" i="72"/>
  <c r="P608" i="72"/>
  <c r="L608" i="72"/>
  <c r="M628" i="72"/>
  <c r="P627" i="72"/>
  <c r="D627" i="72"/>
  <c r="M626" i="72"/>
  <c r="P625" i="72"/>
  <c r="E625" i="72"/>
  <c r="N624" i="72"/>
  <c r="C624" i="72"/>
  <c r="L623" i="72"/>
  <c r="O622" i="72"/>
  <c r="C622" i="72"/>
  <c r="L621" i="72"/>
  <c r="O620" i="72"/>
  <c r="D620" i="72"/>
  <c r="M619" i="72"/>
  <c r="P618" i="72"/>
  <c r="E618" i="72"/>
  <c r="N617" i="72"/>
  <c r="E616" i="72"/>
  <c r="N615" i="72"/>
  <c r="C615" i="72"/>
  <c r="L614" i="72"/>
  <c r="O613" i="72"/>
  <c r="D613" i="72"/>
  <c r="M612" i="72"/>
  <c r="P611" i="72"/>
  <c r="D611" i="72"/>
  <c r="M610" i="72"/>
  <c r="P609" i="72"/>
  <c r="E609" i="72"/>
  <c r="N608" i="72"/>
  <c r="E628" i="72"/>
  <c r="N627" i="72"/>
  <c r="C627" i="72"/>
  <c r="L626" i="72"/>
  <c r="O625" i="72"/>
  <c r="D625" i="72"/>
  <c r="M624" i="72"/>
  <c r="P623" i="72"/>
  <c r="D623" i="72"/>
  <c r="M622" i="72"/>
  <c r="P621" i="72"/>
  <c r="E621" i="72"/>
  <c r="N620" i="72"/>
  <c r="C620" i="72"/>
  <c r="L619" i="72"/>
  <c r="O618" i="72"/>
  <c r="C618" i="72"/>
  <c r="L617" i="72"/>
  <c r="O616" i="72"/>
  <c r="D616" i="72"/>
  <c r="M615" i="72"/>
  <c r="P614" i="72"/>
  <c r="E614" i="72"/>
  <c r="N613" i="72"/>
  <c r="E612" i="72"/>
  <c r="N611" i="72"/>
  <c r="C611" i="72"/>
  <c r="L610" i="72"/>
  <c r="O609" i="72"/>
  <c r="D609" i="72"/>
  <c r="M608" i="72"/>
  <c r="O628" i="72"/>
  <c r="D628" i="72"/>
  <c r="M627" i="72"/>
  <c r="P626" i="72"/>
  <c r="E626" i="72"/>
  <c r="N625" i="72"/>
  <c r="E624" i="72"/>
  <c r="N623" i="72"/>
  <c r="C623" i="72"/>
  <c r="L622" i="72"/>
  <c r="O621" i="72"/>
  <c r="D621" i="72"/>
  <c r="M620" i="72"/>
  <c r="P619" i="72"/>
  <c r="D619" i="72"/>
  <c r="M618" i="72"/>
  <c r="P617" i="72"/>
  <c r="E617" i="72"/>
  <c r="N616" i="72"/>
  <c r="C616" i="72"/>
  <c r="L615" i="72"/>
  <c r="O614" i="72"/>
  <c r="C614" i="72"/>
  <c r="L613" i="72"/>
  <c r="O612" i="72"/>
  <c r="D612" i="72"/>
  <c r="M611" i="72"/>
  <c r="P610" i="72"/>
  <c r="E610" i="72"/>
  <c r="N609" i="72"/>
  <c r="O626" i="72"/>
  <c r="L625" i="72"/>
  <c r="D624" i="72"/>
  <c r="O617" i="72"/>
  <c r="M616" i="72"/>
  <c r="D615" i="72"/>
  <c r="O608" i="72"/>
  <c r="N628" i="72"/>
  <c r="L627" i="72"/>
  <c r="C626" i="72"/>
  <c r="N619" i="72"/>
  <c r="L618" i="72"/>
  <c r="D617" i="72"/>
  <c r="O610" i="72"/>
  <c r="L609" i="72"/>
  <c r="C628" i="72"/>
  <c r="P622" i="72"/>
  <c r="N621" i="72"/>
  <c r="E620" i="72"/>
  <c r="C619" i="72"/>
  <c r="P613" i="72"/>
  <c r="N612" i="72"/>
  <c r="L611" i="72"/>
  <c r="C610" i="72"/>
  <c r="C612" i="72"/>
  <c r="O624" i="72"/>
  <c r="P615" i="72"/>
  <c r="M623" i="72"/>
  <c r="M614" i="72"/>
  <c r="E622" i="72"/>
  <c r="E613" i="72"/>
  <c r="V584" i="72"/>
  <c r="W584" i="72"/>
  <c r="V588" i="72"/>
  <c r="W588" i="72"/>
  <c r="V592" i="72"/>
  <c r="W592" i="72"/>
  <c r="V596" i="72"/>
  <c r="W596" i="72"/>
  <c r="T599" i="72"/>
  <c r="Z599" i="72" s="1"/>
  <c r="U599" i="72"/>
  <c r="T603" i="72"/>
  <c r="U603" i="72"/>
  <c r="AA565" i="72"/>
  <c r="Z564" i="72"/>
  <c r="Z560" i="72"/>
  <c r="Q128" i="72"/>
  <c r="P103" i="72"/>
  <c r="P104" i="72" s="1"/>
  <c r="G16" i="78" s="1"/>
  <c r="O103" i="72"/>
  <c r="O104" i="72" s="1"/>
  <c r="Q224" i="72"/>
  <c r="O199" i="72"/>
  <c r="P199" i="72"/>
  <c r="Z554" i="72"/>
  <c r="Z561" i="72"/>
  <c r="U579" i="72"/>
  <c r="AA558" i="72"/>
  <c r="AA579" i="72" s="1"/>
  <c r="Z563" i="72"/>
  <c r="E59" i="3"/>
  <c r="E60" i="3"/>
  <c r="R391" i="72" l="1"/>
  <c r="R416" i="72" s="1"/>
  <c r="R441" i="72" s="1"/>
  <c r="R466" i="72" s="1"/>
  <c r="R491" i="72" s="1"/>
  <c r="R516" i="72" s="1"/>
  <c r="R541" i="72" s="1"/>
  <c r="R566" i="72" s="1"/>
  <c r="R591" i="72" s="1"/>
  <c r="R616" i="72" s="1"/>
  <c r="O366" i="72"/>
  <c r="P366" i="72"/>
  <c r="R367" i="72"/>
  <c r="P342" i="72"/>
  <c r="O342" i="72"/>
  <c r="AA599" i="72"/>
  <c r="AA601" i="72"/>
  <c r="Z603" i="72"/>
  <c r="Z602" i="72"/>
  <c r="AA587" i="72"/>
  <c r="AA603" i="72"/>
  <c r="T618" i="72"/>
  <c r="U618" i="72"/>
  <c r="X625" i="72"/>
  <c r="Y625" i="72"/>
  <c r="X620" i="72"/>
  <c r="Y620" i="72"/>
  <c r="Q153" i="72"/>
  <c r="P128" i="72"/>
  <c r="P129" i="72" s="1"/>
  <c r="H16" i="78" s="1"/>
  <c r="O128" i="72"/>
  <c r="O129" i="72" s="1"/>
  <c r="H10" i="78" s="1"/>
  <c r="T611" i="72"/>
  <c r="U611" i="72"/>
  <c r="T609" i="72"/>
  <c r="U609" i="72"/>
  <c r="X619" i="72"/>
  <c r="Y619" i="72"/>
  <c r="O629" i="72"/>
  <c r="T615" i="72"/>
  <c r="U615" i="72"/>
  <c r="V620" i="72"/>
  <c r="W620" i="72"/>
  <c r="T610" i="72"/>
  <c r="U610" i="72"/>
  <c r="X613" i="72"/>
  <c r="Y613" i="72"/>
  <c r="T626" i="72"/>
  <c r="U626" i="72"/>
  <c r="X608" i="72"/>
  <c r="N629" i="72"/>
  <c r="N630" i="72" s="1"/>
  <c r="Y608" i="72"/>
  <c r="Y629" i="72" s="1"/>
  <c r="V619" i="72"/>
  <c r="W619" i="72"/>
  <c r="X624" i="72"/>
  <c r="Y624" i="72"/>
  <c r="P629" i="72"/>
  <c r="X610" i="72"/>
  <c r="Y610" i="72"/>
  <c r="X614" i="72"/>
  <c r="Y614" i="72"/>
  <c r="X618" i="72"/>
  <c r="Y618" i="72"/>
  <c r="X622" i="72"/>
  <c r="Y622" i="72"/>
  <c r="X626" i="72"/>
  <c r="Y626" i="72"/>
  <c r="Z590" i="72"/>
  <c r="Q345" i="72"/>
  <c r="P320" i="72"/>
  <c r="O320" i="72"/>
  <c r="AA600" i="72"/>
  <c r="AA592" i="72"/>
  <c r="AA584" i="72"/>
  <c r="Q201" i="72"/>
  <c r="O176" i="72"/>
  <c r="P176" i="72"/>
  <c r="Q648" i="72"/>
  <c r="Q273" i="72"/>
  <c r="P248" i="72"/>
  <c r="O248" i="72"/>
  <c r="Z591" i="72"/>
  <c r="E605" i="72"/>
  <c r="Z597" i="72"/>
  <c r="Z589" i="72"/>
  <c r="Q297" i="72"/>
  <c r="P272" i="72"/>
  <c r="O272" i="72"/>
  <c r="Q225" i="72"/>
  <c r="P200" i="72"/>
  <c r="O200" i="72"/>
  <c r="X621" i="72"/>
  <c r="Y621" i="72"/>
  <c r="V608" i="72"/>
  <c r="M629" i="72"/>
  <c r="M630" i="72" s="1"/>
  <c r="W608" i="72"/>
  <c r="W629" i="72" s="1"/>
  <c r="T619" i="72"/>
  <c r="U619" i="72"/>
  <c r="V624" i="72"/>
  <c r="W624" i="72"/>
  <c r="E629" i="72"/>
  <c r="T614" i="72"/>
  <c r="U614" i="72"/>
  <c r="X617" i="72"/>
  <c r="Y617" i="72"/>
  <c r="C629" i="72"/>
  <c r="AA586" i="72"/>
  <c r="AA598" i="72"/>
  <c r="Q321" i="72"/>
  <c r="P296" i="72"/>
  <c r="O296" i="72"/>
  <c r="Z600" i="72"/>
  <c r="Z592" i="72"/>
  <c r="Z584" i="72"/>
  <c r="AA594" i="72"/>
  <c r="AA595" i="72"/>
  <c r="T604" i="72"/>
  <c r="Z583" i="72"/>
  <c r="AA593" i="72"/>
  <c r="AA585" i="72"/>
  <c r="O647" i="72"/>
  <c r="P647" i="72"/>
  <c r="X612" i="72"/>
  <c r="Y612" i="72"/>
  <c r="T625" i="72"/>
  <c r="U625" i="72"/>
  <c r="T613" i="72"/>
  <c r="U613" i="72"/>
  <c r="V618" i="72"/>
  <c r="W618" i="72"/>
  <c r="X623" i="72"/>
  <c r="Y623" i="72"/>
  <c r="Q249" i="72"/>
  <c r="O224" i="72"/>
  <c r="P224" i="72"/>
  <c r="V614" i="72"/>
  <c r="W614" i="72"/>
  <c r="T627" i="72"/>
  <c r="U627" i="72"/>
  <c r="V616" i="72"/>
  <c r="W616" i="72"/>
  <c r="V611" i="72"/>
  <c r="W611" i="72"/>
  <c r="X616" i="72"/>
  <c r="Y616" i="72"/>
  <c r="V627" i="72"/>
  <c r="W627" i="72"/>
  <c r="D629" i="72"/>
  <c r="X611" i="72"/>
  <c r="Y611" i="72"/>
  <c r="T617" i="72"/>
  <c r="U617" i="72"/>
  <c r="V622" i="72"/>
  <c r="W622" i="72"/>
  <c r="X627" i="72"/>
  <c r="Y627" i="72"/>
  <c r="V612" i="72"/>
  <c r="W612" i="72"/>
  <c r="T623" i="72"/>
  <c r="U623" i="72"/>
  <c r="V628" i="72"/>
  <c r="W628" i="72"/>
  <c r="V609" i="72"/>
  <c r="W609" i="72"/>
  <c r="V613" i="72"/>
  <c r="W613" i="72"/>
  <c r="V617" i="72"/>
  <c r="W617" i="72"/>
  <c r="V621" i="72"/>
  <c r="W621" i="72"/>
  <c r="V625" i="72"/>
  <c r="W625" i="72"/>
  <c r="Z586" i="72"/>
  <c r="Z598" i="72"/>
  <c r="AA596" i="72"/>
  <c r="AA588" i="72"/>
  <c r="Z594" i="72"/>
  <c r="Z579" i="72"/>
  <c r="Q177" i="72"/>
  <c r="O152" i="72"/>
  <c r="P152" i="72"/>
  <c r="Z595" i="72"/>
  <c r="Z587" i="72"/>
  <c r="AA602" i="72"/>
  <c r="Z593" i="72"/>
  <c r="Z585" i="72"/>
  <c r="V604" i="72"/>
  <c r="V623" i="72"/>
  <c r="W623" i="72"/>
  <c r="X628" i="72"/>
  <c r="Y628" i="72"/>
  <c r="X609" i="72"/>
  <c r="Y609" i="72"/>
  <c r="T622" i="72"/>
  <c r="U622" i="72"/>
  <c r="V615" i="72"/>
  <c r="W615" i="72"/>
  <c r="V610" i="72"/>
  <c r="W610" i="72"/>
  <c r="X615" i="72"/>
  <c r="Y615" i="72"/>
  <c r="T621" i="72"/>
  <c r="U621" i="72"/>
  <c r="V626" i="72"/>
  <c r="W626" i="72"/>
  <c r="T608" i="72"/>
  <c r="L629" i="72"/>
  <c r="L630" i="72" s="1"/>
  <c r="U608" i="72"/>
  <c r="T612" i="72"/>
  <c r="U612" i="72"/>
  <c r="T616" i="72"/>
  <c r="U616" i="72"/>
  <c r="T620" i="72"/>
  <c r="U620" i="72"/>
  <c r="T624" i="72"/>
  <c r="U624" i="72"/>
  <c r="T628" i="72"/>
  <c r="U628" i="72"/>
  <c r="AA590" i="72"/>
  <c r="Q393" i="72"/>
  <c r="Q418" i="72" s="1"/>
  <c r="Q443" i="72" s="1"/>
  <c r="Q468" i="72" s="1"/>
  <c r="Q493" i="72" s="1"/>
  <c r="Q518" i="72" s="1"/>
  <c r="Q543" i="72" s="1"/>
  <c r="Q568" i="72" s="1"/>
  <c r="Q593" i="72" s="1"/>
  <c r="Q618" i="72" s="1"/>
  <c r="O368" i="72"/>
  <c r="P368" i="72"/>
  <c r="Z596" i="72"/>
  <c r="Z588" i="72"/>
  <c r="X604" i="72"/>
  <c r="Q369" i="72"/>
  <c r="P344" i="72"/>
  <c r="O344" i="72"/>
  <c r="AA591" i="72"/>
  <c r="U604" i="72"/>
  <c r="AA583" i="72"/>
  <c r="AA604" i="72" s="1"/>
  <c r="AA597" i="72"/>
  <c r="AA589" i="72"/>
  <c r="F30" i="5"/>
  <c r="F5" i="5"/>
  <c r="F83" i="5"/>
  <c r="F39" i="5"/>
  <c r="F43" i="5"/>
  <c r="R392" i="72" l="1"/>
  <c r="R417" i="72" s="1"/>
  <c r="R442" i="72" s="1"/>
  <c r="R467" i="72" s="1"/>
  <c r="R492" i="72" s="1"/>
  <c r="R517" i="72" s="1"/>
  <c r="R542" i="72" s="1"/>
  <c r="R567" i="72" s="1"/>
  <c r="R592" i="72" s="1"/>
  <c r="R617" i="72" s="1"/>
  <c r="O367" i="72"/>
  <c r="P367" i="72"/>
  <c r="Z622" i="72"/>
  <c r="Z616" i="72"/>
  <c r="Z621" i="72"/>
  <c r="Z619" i="72"/>
  <c r="E630" i="72"/>
  <c r="Z628" i="72"/>
  <c r="AA619" i="72"/>
  <c r="Z612" i="72"/>
  <c r="Z620" i="72"/>
  <c r="Z624" i="72"/>
  <c r="AA622" i="72"/>
  <c r="AA621" i="72"/>
  <c r="AA620" i="72"/>
  <c r="AA624" i="72"/>
  <c r="AA616" i="72"/>
  <c r="AA628" i="72"/>
  <c r="AA612" i="72"/>
  <c r="Q202" i="72"/>
  <c r="P177" i="72"/>
  <c r="O177" i="72"/>
  <c r="Z623" i="72"/>
  <c r="Z617" i="72"/>
  <c r="AA627" i="72"/>
  <c r="Q649" i="72"/>
  <c r="Q274" i="72"/>
  <c r="P249" i="72"/>
  <c r="O249" i="72"/>
  <c r="Z625" i="72"/>
  <c r="Q346" i="72"/>
  <c r="P321" i="72"/>
  <c r="O321" i="72"/>
  <c r="Q250" i="72"/>
  <c r="O225" i="72"/>
  <c r="P225" i="72"/>
  <c r="Q298" i="72"/>
  <c r="P273" i="72"/>
  <c r="O273" i="72"/>
  <c r="Q226" i="72"/>
  <c r="O201" i="72"/>
  <c r="P201" i="72"/>
  <c r="AA626" i="72"/>
  <c r="AA610" i="72"/>
  <c r="AA615" i="72"/>
  <c r="Z611" i="72"/>
  <c r="T629" i="72"/>
  <c r="Z608" i="72"/>
  <c r="Z627" i="72"/>
  <c r="AA613" i="72"/>
  <c r="Q322" i="72"/>
  <c r="P297" i="72"/>
  <c r="O297" i="72"/>
  <c r="O648" i="72"/>
  <c r="P648" i="72"/>
  <c r="Z626" i="72"/>
  <c r="Z610" i="72"/>
  <c r="Z615" i="72"/>
  <c r="AA609" i="72"/>
  <c r="Q394" i="72"/>
  <c r="Q419" i="72" s="1"/>
  <c r="Q444" i="72" s="1"/>
  <c r="Q469" i="72" s="1"/>
  <c r="Q494" i="72" s="1"/>
  <c r="Q519" i="72" s="1"/>
  <c r="Q544" i="72" s="1"/>
  <c r="Q569" i="72" s="1"/>
  <c r="Q594" i="72" s="1"/>
  <c r="Q619" i="72" s="1"/>
  <c r="O369" i="72"/>
  <c r="P369" i="72"/>
  <c r="Z613" i="72"/>
  <c r="AA614" i="72"/>
  <c r="Q370" i="72"/>
  <c r="O345" i="72"/>
  <c r="P345" i="72"/>
  <c r="Z609" i="72"/>
  <c r="AA618" i="72"/>
  <c r="AA608" i="72"/>
  <c r="AA629" i="72" s="1"/>
  <c r="U629" i="72"/>
  <c r="AA623" i="72"/>
  <c r="AA617" i="72"/>
  <c r="AA625" i="72"/>
  <c r="Z604" i="72"/>
  <c r="Z614" i="72"/>
  <c r="V629" i="72"/>
  <c r="X629" i="72"/>
  <c r="AA611" i="72"/>
  <c r="Q178" i="72"/>
  <c r="O153" i="72"/>
  <c r="O154" i="72" s="1"/>
  <c r="I10" i="78" s="1"/>
  <c r="P153" i="72"/>
  <c r="P154" i="72" s="1"/>
  <c r="I16" i="78" s="1"/>
  <c r="Z618" i="72"/>
  <c r="D22" i="16"/>
  <c r="D23" i="16"/>
  <c r="D24" i="16"/>
  <c r="D25" i="16"/>
  <c r="D26" i="16"/>
  <c r="D27" i="16"/>
  <c r="J130" i="16" s="1"/>
  <c r="D28" i="16"/>
  <c r="D29" i="16"/>
  <c r="J132" i="16" s="1"/>
  <c r="D30" i="16"/>
  <c r="J133" i="16" s="1"/>
  <c r="D31" i="16"/>
  <c r="J134" i="16" s="1"/>
  <c r="D21" i="16"/>
  <c r="G32" i="18"/>
  <c r="H32" i="18"/>
  <c r="I32" i="18"/>
  <c r="G33" i="18"/>
  <c r="H33" i="18"/>
  <c r="I33" i="18"/>
  <c r="G34" i="18"/>
  <c r="H34" i="18"/>
  <c r="I34" i="18"/>
  <c r="G35" i="18"/>
  <c r="H35" i="18"/>
  <c r="I35" i="18"/>
  <c r="G36" i="18"/>
  <c r="H36" i="18"/>
  <c r="I36" i="18"/>
  <c r="G37" i="18"/>
  <c r="H37" i="18"/>
  <c r="I37" i="18"/>
  <c r="J131" i="16"/>
  <c r="G50" i="16"/>
  <c r="H50" i="16"/>
  <c r="I50" i="16"/>
  <c r="G51" i="16"/>
  <c r="H51" i="16"/>
  <c r="I51" i="16"/>
  <c r="G52" i="16"/>
  <c r="H52" i="16"/>
  <c r="I52" i="16"/>
  <c r="G53" i="16"/>
  <c r="H53" i="16"/>
  <c r="I53" i="16"/>
  <c r="G54" i="16"/>
  <c r="H54" i="16"/>
  <c r="I54" i="16"/>
  <c r="C45" i="10"/>
  <c r="E45" i="3"/>
  <c r="E46" i="3"/>
  <c r="E47" i="3"/>
  <c r="E48" i="3"/>
  <c r="E49" i="3"/>
  <c r="Q347" i="72" l="1"/>
  <c r="O322" i="72"/>
  <c r="P322" i="72"/>
  <c r="Q371" i="72"/>
  <c r="O346" i="72"/>
  <c r="P346" i="72"/>
  <c r="Q299" i="72"/>
  <c r="P274" i="72"/>
  <c r="O274" i="72"/>
  <c r="Q203" i="72"/>
  <c r="O178" i="72"/>
  <c r="O179" i="72" s="1"/>
  <c r="J10" i="78" s="1"/>
  <c r="P178" i="72"/>
  <c r="P179" i="72" s="1"/>
  <c r="J16" i="78" s="1"/>
  <c r="Z629" i="72"/>
  <c r="Q650" i="72"/>
  <c r="Q275" i="72"/>
  <c r="O250" i="72"/>
  <c r="P250" i="72"/>
  <c r="O649" i="72"/>
  <c r="P649" i="72"/>
  <c r="Q395" i="72"/>
  <c r="Q420" i="72" s="1"/>
  <c r="Q445" i="72" s="1"/>
  <c r="Q470" i="72" s="1"/>
  <c r="Q495" i="72" s="1"/>
  <c r="Q520" i="72" s="1"/>
  <c r="Q545" i="72" s="1"/>
  <c r="Q570" i="72" s="1"/>
  <c r="Q595" i="72" s="1"/>
  <c r="Q620" i="72" s="1"/>
  <c r="P370" i="72"/>
  <c r="O370" i="72"/>
  <c r="Q323" i="72"/>
  <c r="O298" i="72"/>
  <c r="P298" i="72"/>
  <c r="Q251" i="72"/>
  <c r="P226" i="72"/>
  <c r="O226" i="72"/>
  <c r="Q227" i="72"/>
  <c r="O202" i="72"/>
  <c r="P202" i="72"/>
  <c r="F33" i="18"/>
  <c r="F36" i="18"/>
  <c r="F35" i="18"/>
  <c r="F53" i="16"/>
  <c r="F133" i="16" s="1"/>
  <c r="F37" i="18"/>
  <c r="F34" i="18"/>
  <c r="F52" i="16"/>
  <c r="F132" i="16" s="1"/>
  <c r="F51" i="16"/>
  <c r="F131" i="16" s="1"/>
  <c r="F54" i="16"/>
  <c r="F134" i="16" s="1"/>
  <c r="F50" i="16"/>
  <c r="F130" i="16" s="1"/>
  <c r="H132" i="16"/>
  <c r="H133" i="16"/>
  <c r="G132" i="16"/>
  <c r="I131" i="16"/>
  <c r="I132" i="16"/>
  <c r="G133" i="16"/>
  <c r="I133" i="16"/>
  <c r="I134" i="16"/>
  <c r="H131" i="16"/>
  <c r="I130" i="16"/>
  <c r="H134" i="16"/>
  <c r="G131" i="16"/>
  <c r="H130" i="16"/>
  <c r="G134" i="16"/>
  <c r="G130" i="16"/>
  <c r="Q324" i="72" l="1"/>
  <c r="P299" i="72"/>
  <c r="O299" i="72"/>
  <c r="Q348" i="72"/>
  <c r="P323" i="72"/>
  <c r="O323" i="72"/>
  <c r="Q228" i="72"/>
  <c r="O203" i="72"/>
  <c r="O204" i="72" s="1"/>
  <c r="K10" i="78" s="1"/>
  <c r="P203" i="72"/>
  <c r="P204" i="72" s="1"/>
  <c r="K16" i="78" s="1"/>
  <c r="Q651" i="72"/>
  <c r="Q276" i="72"/>
  <c r="O251" i="72"/>
  <c r="P251" i="72"/>
  <c r="Q300" i="72"/>
  <c r="P275" i="72"/>
  <c r="O275" i="72"/>
  <c r="Q372" i="72"/>
  <c r="O347" i="72"/>
  <c r="P347" i="72"/>
  <c r="Q252" i="72"/>
  <c r="P227" i="72"/>
  <c r="O227" i="72"/>
  <c r="O650" i="72"/>
  <c r="P650" i="72"/>
  <c r="Q396" i="72"/>
  <c r="Q421" i="72" s="1"/>
  <c r="Q446" i="72" s="1"/>
  <c r="Q471" i="72" s="1"/>
  <c r="Q496" i="72" s="1"/>
  <c r="Q521" i="72" s="1"/>
  <c r="Q546" i="72" s="1"/>
  <c r="Q571" i="72" s="1"/>
  <c r="Q596" i="72" s="1"/>
  <c r="Q621" i="72" s="1"/>
  <c r="P371" i="72"/>
  <c r="O371" i="72"/>
  <c r="D16" i="66"/>
  <c r="Q652" i="72" l="1"/>
  <c r="Q277" i="72"/>
  <c r="P252" i="72"/>
  <c r="O252" i="72"/>
  <c r="Q397" i="72"/>
  <c r="Q422" i="72" s="1"/>
  <c r="Q447" i="72" s="1"/>
  <c r="Q472" i="72" s="1"/>
  <c r="Q497" i="72" s="1"/>
  <c r="Q522" i="72" s="1"/>
  <c r="Q547" i="72" s="1"/>
  <c r="Q572" i="72" s="1"/>
  <c r="Q597" i="72" s="1"/>
  <c r="Q622" i="72" s="1"/>
  <c r="O372" i="72"/>
  <c r="P372" i="72"/>
  <c r="Q301" i="72"/>
  <c r="P276" i="72"/>
  <c r="O276" i="72"/>
  <c r="O651" i="72"/>
  <c r="P651" i="72"/>
  <c r="Q373" i="72"/>
  <c r="O348" i="72"/>
  <c r="P348" i="72"/>
  <c r="Q325" i="72"/>
  <c r="P300" i="72"/>
  <c r="O300" i="72"/>
  <c r="Q253" i="72"/>
  <c r="P228" i="72"/>
  <c r="P229" i="72" s="1"/>
  <c r="L16" i="78" s="1"/>
  <c r="O228" i="72"/>
  <c r="O229" i="72" s="1"/>
  <c r="L10" i="78" s="1"/>
  <c r="Q349" i="72"/>
  <c r="P324" i="72"/>
  <c r="O324" i="72"/>
  <c r="C23" i="3"/>
  <c r="C38" i="43"/>
  <c r="C39" i="43"/>
  <c r="C40" i="43"/>
  <c r="C41" i="43"/>
  <c r="C42" i="43"/>
  <c r="C43" i="43"/>
  <c r="C44" i="43"/>
  <c r="C45" i="43"/>
  <c r="C37" i="43"/>
  <c r="C32" i="43"/>
  <c r="C33" i="43"/>
  <c r="C31" i="43"/>
  <c r="C26" i="43"/>
  <c r="C27" i="43"/>
  <c r="C25" i="43"/>
  <c r="C20" i="43"/>
  <c r="C21" i="43"/>
  <c r="C19" i="43"/>
  <c r="C17" i="43"/>
  <c r="C16" i="43"/>
  <c r="C10" i="43"/>
  <c r="C11" i="43"/>
  <c r="C12" i="43"/>
  <c r="C9" i="43"/>
  <c r="C7" i="43"/>
  <c r="F93" i="5"/>
  <c r="F94" i="5"/>
  <c r="F95" i="5"/>
  <c r="F96" i="5"/>
  <c r="F97" i="5"/>
  <c r="F98" i="5"/>
  <c r="F92" i="5"/>
  <c r="F80" i="5"/>
  <c r="F81" i="5"/>
  <c r="F84" i="5"/>
  <c r="F79" i="5"/>
  <c r="F68" i="5"/>
  <c r="F69" i="5"/>
  <c r="F70" i="5"/>
  <c r="F71" i="5"/>
  <c r="F72" i="5"/>
  <c r="F73" i="5"/>
  <c r="F74" i="5"/>
  <c r="F75" i="5"/>
  <c r="F76" i="5"/>
  <c r="F67" i="5"/>
  <c r="F63" i="5"/>
  <c r="F62" i="5"/>
  <c r="F57" i="5"/>
  <c r="F58" i="5"/>
  <c r="F59" i="5"/>
  <c r="F56" i="5"/>
  <c r="F51" i="5"/>
  <c r="F50" i="5"/>
  <c r="F31" i="5"/>
  <c r="F32" i="5"/>
  <c r="F33" i="5"/>
  <c r="F34" i="5"/>
  <c r="F35" i="5"/>
  <c r="F36" i="5"/>
  <c r="F37" i="5"/>
  <c r="F40" i="5"/>
  <c r="F41" i="5"/>
  <c r="F42" i="5"/>
  <c r="F44" i="5"/>
  <c r="F45" i="5"/>
  <c r="F46" i="5"/>
  <c r="F47" i="5"/>
  <c r="F16" i="5"/>
  <c r="F17" i="5"/>
  <c r="F18" i="5"/>
  <c r="F19" i="5"/>
  <c r="F20" i="5"/>
  <c r="F15" i="5"/>
  <c r="F12" i="5"/>
  <c r="F11" i="5"/>
  <c r="F8" i="5"/>
  <c r="C19" i="4"/>
  <c r="D11" i="12"/>
  <c r="D10" i="12"/>
  <c r="D9" i="12"/>
  <c r="C19" i="66"/>
  <c r="C20" i="4" s="1"/>
  <c r="C15" i="10"/>
  <c r="C14" i="10"/>
  <c r="C13" i="10"/>
  <c r="E62" i="3"/>
  <c r="E63" i="3"/>
  <c r="E64" i="3"/>
  <c r="E65" i="3"/>
  <c r="E66" i="3"/>
  <c r="E67" i="3"/>
  <c r="E68" i="3"/>
  <c r="E69" i="3"/>
  <c r="E70" i="3"/>
  <c r="E71" i="3"/>
  <c r="E61" i="3"/>
  <c r="E51" i="3"/>
  <c r="E52" i="3"/>
  <c r="E53" i="3"/>
  <c r="E54" i="3"/>
  <c r="E55" i="3"/>
  <c r="E56" i="3"/>
  <c r="E57" i="3"/>
  <c r="E58" i="3"/>
  <c r="E50" i="3"/>
  <c r="E40" i="3"/>
  <c r="E41" i="3"/>
  <c r="E42" i="3"/>
  <c r="E43" i="3"/>
  <c r="E44" i="3"/>
  <c r="E39" i="3"/>
  <c r="Q653" i="72" l="1"/>
  <c r="Q278" i="72"/>
  <c r="P253" i="72"/>
  <c r="P254" i="72" s="1"/>
  <c r="M16" i="78" s="1"/>
  <c r="O253" i="72"/>
  <c r="O254" i="72" s="1"/>
  <c r="M10" i="78" s="1"/>
  <c r="Q398" i="72"/>
  <c r="Q423" i="72" s="1"/>
  <c r="Q448" i="72" s="1"/>
  <c r="Q473" i="72" s="1"/>
  <c r="Q498" i="72" s="1"/>
  <c r="Q523" i="72" s="1"/>
  <c r="Q548" i="72" s="1"/>
  <c r="Q573" i="72" s="1"/>
  <c r="Q598" i="72" s="1"/>
  <c r="Q623" i="72" s="1"/>
  <c r="O373" i="72"/>
  <c r="P373" i="72"/>
  <c r="Q302" i="72"/>
  <c r="P277" i="72"/>
  <c r="O277" i="72"/>
  <c r="Q374" i="72"/>
  <c r="O349" i="72"/>
  <c r="P349" i="72"/>
  <c r="Q350" i="72"/>
  <c r="P325" i="72"/>
  <c r="O325" i="72"/>
  <c r="Q326" i="72"/>
  <c r="P301" i="72"/>
  <c r="O301" i="72"/>
  <c r="O652" i="72"/>
  <c r="P652" i="72"/>
  <c r="F64" i="5"/>
  <c r="F32" i="18"/>
  <c r="C29" i="43"/>
  <c r="C14" i="43"/>
  <c r="E16" i="66"/>
  <c r="C16" i="66"/>
  <c r="D159" i="66"/>
  <c r="C35" i="43"/>
  <c r="C34" i="43"/>
  <c r="D124" i="66"/>
  <c r="F24" i="16"/>
  <c r="F57" i="18"/>
  <c r="G57" i="18"/>
  <c r="H57" i="18"/>
  <c r="I57" i="18"/>
  <c r="F58" i="18"/>
  <c r="G58" i="18"/>
  <c r="H58" i="18"/>
  <c r="I58" i="18"/>
  <c r="F59" i="18"/>
  <c r="G59" i="18"/>
  <c r="H59" i="18"/>
  <c r="I59" i="18"/>
  <c r="F47" i="18"/>
  <c r="G47" i="18"/>
  <c r="H47" i="18"/>
  <c r="I47" i="18"/>
  <c r="F48" i="18"/>
  <c r="G48" i="18"/>
  <c r="H48" i="18"/>
  <c r="I48" i="18"/>
  <c r="F74" i="16"/>
  <c r="G74" i="16"/>
  <c r="H74" i="16"/>
  <c r="I74" i="16"/>
  <c r="F75" i="16"/>
  <c r="G75" i="16"/>
  <c r="H75" i="16"/>
  <c r="I75" i="16"/>
  <c r="F76" i="16"/>
  <c r="G76" i="16"/>
  <c r="H76" i="16"/>
  <c r="I76" i="16"/>
  <c r="F63" i="16"/>
  <c r="G63" i="16"/>
  <c r="H63" i="16"/>
  <c r="I63" i="16"/>
  <c r="F64" i="16"/>
  <c r="G64" i="16"/>
  <c r="H64" i="16"/>
  <c r="I64" i="16"/>
  <c r="F65" i="16"/>
  <c r="G65" i="16"/>
  <c r="H65" i="16"/>
  <c r="I65" i="16"/>
  <c r="C24" i="3" l="1"/>
  <c r="D64" i="66"/>
  <c r="F52" i="5" s="1"/>
  <c r="D92" i="66"/>
  <c r="D31" i="74"/>
  <c r="E31" i="74" s="1"/>
  <c r="F31" i="74" s="1"/>
  <c r="G31" i="74" s="1"/>
  <c r="H31" i="74" s="1"/>
  <c r="I31" i="74" s="1"/>
  <c r="J31" i="74" s="1"/>
  <c r="K31" i="74" s="1"/>
  <c r="L31" i="74" s="1"/>
  <c r="M31" i="74" s="1"/>
  <c r="N31" i="74" s="1"/>
  <c r="O31" i="74" s="1"/>
  <c r="P31" i="74" s="1"/>
  <c r="Q31" i="74" s="1"/>
  <c r="R31" i="74" s="1"/>
  <c r="S31" i="74" s="1"/>
  <c r="T31" i="74" s="1"/>
  <c r="U31" i="74" s="1"/>
  <c r="V31" i="74" s="1"/>
  <c r="W31" i="74" s="1"/>
  <c r="X31" i="74" s="1"/>
  <c r="Y31" i="74" s="1"/>
  <c r="Z31" i="74" s="1"/>
  <c r="AA31" i="74" s="1"/>
  <c r="AB31" i="74" s="1"/>
  <c r="AC31" i="74" s="1"/>
  <c r="Q351" i="72"/>
  <c r="O326" i="72"/>
  <c r="P326" i="72"/>
  <c r="Q399" i="72"/>
  <c r="Q424" i="72" s="1"/>
  <c r="Q449" i="72" s="1"/>
  <c r="Q474" i="72" s="1"/>
  <c r="Q499" i="72" s="1"/>
  <c r="Q524" i="72" s="1"/>
  <c r="Q549" i="72" s="1"/>
  <c r="Q574" i="72" s="1"/>
  <c r="Q599" i="72" s="1"/>
  <c r="Q624" i="72" s="1"/>
  <c r="P374" i="72"/>
  <c r="O374" i="72"/>
  <c r="Q303" i="72"/>
  <c r="O278" i="72"/>
  <c r="O279" i="72" s="1"/>
  <c r="N10" i="78" s="1"/>
  <c r="P278" i="72"/>
  <c r="P279" i="72" s="1"/>
  <c r="N16" i="78" s="1"/>
  <c r="Q375" i="72"/>
  <c r="O350" i="72"/>
  <c r="P350" i="72"/>
  <c r="O653" i="72"/>
  <c r="O654" i="72" s="1"/>
  <c r="P653" i="72"/>
  <c r="P654" i="72" s="1"/>
  <c r="S16" i="78" s="1"/>
  <c r="Q327" i="72"/>
  <c r="P302" i="72"/>
  <c r="O302" i="72"/>
  <c r="C49" i="43"/>
  <c r="C22" i="3"/>
  <c r="D139" i="66"/>
  <c r="D133" i="66"/>
  <c r="D157" i="66"/>
  <c r="T22" i="78" l="1"/>
  <c r="T23" i="78" s="1"/>
  <c r="S5" i="76" s="1"/>
  <c r="C32" i="79"/>
  <c r="C33" i="79"/>
  <c r="C25" i="79"/>
  <c r="C30" i="79"/>
  <c r="C28" i="79"/>
  <c r="C27" i="79"/>
  <c r="C29" i="79"/>
  <c r="C24" i="79"/>
  <c r="C31" i="79"/>
  <c r="C26" i="79"/>
  <c r="D161" i="66"/>
  <c r="N22" i="78"/>
  <c r="Q352" i="72"/>
  <c r="O327" i="72"/>
  <c r="P327" i="72"/>
  <c r="Q328" i="72"/>
  <c r="O303" i="72"/>
  <c r="O304" i="72" s="1"/>
  <c r="O10" i="78" s="1"/>
  <c r="P303" i="72"/>
  <c r="P304" i="72" s="1"/>
  <c r="O16" i="78" s="1"/>
  <c r="S22" i="78"/>
  <c r="Q400" i="72"/>
  <c r="Q425" i="72" s="1"/>
  <c r="Q450" i="72" s="1"/>
  <c r="Q475" i="72" s="1"/>
  <c r="Q500" i="72" s="1"/>
  <c r="Q525" i="72" s="1"/>
  <c r="Q550" i="72" s="1"/>
  <c r="Q575" i="72" s="1"/>
  <c r="Q600" i="72" s="1"/>
  <c r="Q625" i="72" s="1"/>
  <c r="O375" i="72"/>
  <c r="P375" i="72"/>
  <c r="Q376" i="72"/>
  <c r="O351" i="72"/>
  <c r="P351" i="72"/>
  <c r="N23" i="78" l="1"/>
  <c r="M5" i="76" s="1"/>
  <c r="O22" i="78"/>
  <c r="Q401" i="72"/>
  <c r="Q426" i="72" s="1"/>
  <c r="Q451" i="72" s="1"/>
  <c r="Q476" i="72" s="1"/>
  <c r="Q501" i="72" s="1"/>
  <c r="Q526" i="72" s="1"/>
  <c r="Q551" i="72" s="1"/>
  <c r="Q576" i="72" s="1"/>
  <c r="Q601" i="72" s="1"/>
  <c r="Q626" i="72" s="1"/>
  <c r="P376" i="72"/>
  <c r="O376" i="72"/>
  <c r="S23" i="78"/>
  <c r="R5" i="76" s="1"/>
  <c r="Q353" i="72"/>
  <c r="P328" i="72"/>
  <c r="P329" i="72" s="1"/>
  <c r="P16" i="78" s="1"/>
  <c r="O328" i="72"/>
  <c r="O329" i="72" s="1"/>
  <c r="P10" i="78" s="1"/>
  <c r="Q377" i="72"/>
  <c r="P352" i="72"/>
  <c r="O352" i="72"/>
  <c r="F89" i="5"/>
  <c r="E22" i="16"/>
  <c r="E23" i="16"/>
  <c r="E24" i="16"/>
  <c r="J138" i="16" s="1"/>
  <c r="E25" i="16"/>
  <c r="J139" i="16" s="1"/>
  <c r="E26" i="16"/>
  <c r="J151" i="16" s="1"/>
  <c r="E27" i="16"/>
  <c r="J152" i="16" s="1"/>
  <c r="E28" i="16"/>
  <c r="J153" i="16" s="1"/>
  <c r="E29" i="16"/>
  <c r="J143" i="16" s="1"/>
  <c r="F143" i="16" s="1"/>
  <c r="E30" i="16"/>
  <c r="E31" i="16"/>
  <c r="E21" i="16"/>
  <c r="D13" i="1"/>
  <c r="H7" i="25" s="1"/>
  <c r="H71" i="71" s="1"/>
  <c r="C47" i="1"/>
  <c r="D47" i="1"/>
  <c r="D54" i="1" s="1"/>
  <c r="E47" i="1"/>
  <c r="F47" i="1"/>
  <c r="G47" i="1"/>
  <c r="G54" i="1" s="1"/>
  <c r="H54" i="1"/>
  <c r="I54" i="1"/>
  <c r="J54" i="1"/>
  <c r="K54" i="1"/>
  <c r="L54" i="1"/>
  <c r="F68" i="46"/>
  <c r="F98" i="46"/>
  <c r="F58" i="46"/>
  <c r="F40" i="46"/>
  <c r="B34" i="37"/>
  <c r="F21" i="16"/>
  <c r="J157" i="16" s="1"/>
  <c r="G21" i="16"/>
  <c r="J72" i="18" s="1"/>
  <c r="H26" i="14"/>
  <c r="F102" i="46"/>
  <c r="F105" i="46"/>
  <c r="F113" i="46"/>
  <c r="F103" i="46"/>
  <c r="F93" i="46"/>
  <c r="F73" i="46"/>
  <c r="F69" i="46"/>
  <c r="F67" i="46"/>
  <c r="F66" i="46"/>
  <c r="F65" i="46"/>
  <c r="F64" i="46"/>
  <c r="F54" i="46"/>
  <c r="F29" i="46"/>
  <c r="D28" i="12"/>
  <c r="D39" i="12" s="1"/>
  <c r="F43" i="46"/>
  <c r="F46" i="46"/>
  <c r="F47" i="46"/>
  <c r="F50" i="46"/>
  <c r="F51" i="46"/>
  <c r="F52" i="46"/>
  <c r="F53" i="46"/>
  <c r="F55" i="46"/>
  <c r="F70" i="46"/>
  <c r="F71" i="46"/>
  <c r="F74" i="46"/>
  <c r="F76" i="46"/>
  <c r="F77" i="46"/>
  <c r="F78" i="46"/>
  <c r="F80" i="46"/>
  <c r="F81" i="46"/>
  <c r="F84" i="46"/>
  <c r="F85" i="46"/>
  <c r="F90" i="46"/>
  <c r="F91" i="46"/>
  <c r="F92" i="46"/>
  <c r="F96" i="46"/>
  <c r="F97" i="46"/>
  <c r="F101" i="46"/>
  <c r="F104" i="46"/>
  <c r="F106" i="46"/>
  <c r="F107" i="46"/>
  <c r="F109" i="46"/>
  <c r="F110" i="46"/>
  <c r="F114" i="46"/>
  <c r="F117" i="46"/>
  <c r="F118" i="46"/>
  <c r="F126" i="46"/>
  <c r="F127" i="46"/>
  <c r="F128" i="46"/>
  <c r="F129" i="46"/>
  <c r="F130" i="46"/>
  <c r="F131" i="46"/>
  <c r="F132" i="46"/>
  <c r="F39" i="46"/>
  <c r="F62" i="40"/>
  <c r="F61" i="40"/>
  <c r="F60" i="40"/>
  <c r="F58" i="40"/>
  <c r="F59" i="40"/>
  <c r="F57" i="40"/>
  <c r="D21" i="74" s="1"/>
  <c r="E21" i="74" s="1"/>
  <c r="F21" i="74" s="1"/>
  <c r="G21" i="74" s="1"/>
  <c r="H21" i="74" s="1"/>
  <c r="I21" i="74" s="1"/>
  <c r="J21" i="74" s="1"/>
  <c r="K21" i="74" s="1"/>
  <c r="L21" i="74" s="1"/>
  <c r="M21" i="74" s="1"/>
  <c r="N21" i="74" s="1"/>
  <c r="O21" i="74" s="1"/>
  <c r="P21" i="74" s="1"/>
  <c r="Q21" i="74" s="1"/>
  <c r="R21" i="74" s="1"/>
  <c r="S21" i="74" s="1"/>
  <c r="T21" i="74" s="1"/>
  <c r="U21" i="74" s="1"/>
  <c r="V21" i="74" s="1"/>
  <c r="W21" i="74" s="1"/>
  <c r="X21" i="74" s="1"/>
  <c r="Y21" i="74" s="1"/>
  <c r="Z21" i="74" s="1"/>
  <c r="AA21" i="74" s="1"/>
  <c r="AB21" i="74" s="1"/>
  <c r="AC21" i="74" s="1"/>
  <c r="C67" i="10"/>
  <c r="C13" i="39"/>
  <c r="S19" i="37"/>
  <c r="T19" i="37" s="1"/>
  <c r="S20" i="37"/>
  <c r="T20" i="37"/>
  <c r="S21" i="37"/>
  <c r="T21" i="37" s="1"/>
  <c r="S22" i="37"/>
  <c r="T22" i="37" s="1"/>
  <c r="S23" i="37"/>
  <c r="T23" i="37" s="1"/>
  <c r="S24" i="37"/>
  <c r="T24" i="37" s="1"/>
  <c r="S25" i="37"/>
  <c r="T25" i="37" s="1"/>
  <c r="S26" i="37"/>
  <c r="T26" i="37" s="1"/>
  <c r="S27" i="37"/>
  <c r="T27" i="37" s="1"/>
  <c r="D7" i="39"/>
  <c r="D8" i="39"/>
  <c r="D9" i="39"/>
  <c r="D10" i="39"/>
  <c r="D11" i="39"/>
  <c r="D12" i="39"/>
  <c r="D13" i="39"/>
  <c r="D14" i="39"/>
  <c r="D15" i="39"/>
  <c r="D16" i="39"/>
  <c r="D17" i="39"/>
  <c r="D18" i="39"/>
  <c r="D19" i="39"/>
  <c r="D20" i="39"/>
  <c r="D21" i="39"/>
  <c r="D22" i="39"/>
  <c r="D23" i="39"/>
  <c r="H10" i="14"/>
  <c r="H8" i="41"/>
  <c r="H11" i="41"/>
  <c r="H13" i="41"/>
  <c r="H14" i="41"/>
  <c r="H18" i="41"/>
  <c r="F8" i="41"/>
  <c r="C12" i="39"/>
  <c r="E12" i="39"/>
  <c r="F12" i="39" s="1"/>
  <c r="F11" i="41"/>
  <c r="C15" i="39"/>
  <c r="F13" i="41"/>
  <c r="C17" i="39"/>
  <c r="F14" i="41"/>
  <c r="C18" i="39"/>
  <c r="E18" i="39"/>
  <c r="F18" i="39"/>
  <c r="F18" i="41"/>
  <c r="C22" i="39"/>
  <c r="E22" i="39"/>
  <c r="F22" i="39"/>
  <c r="C46" i="10"/>
  <c r="Q18" i="2"/>
  <c r="G33" i="16"/>
  <c r="J180" i="16" s="1"/>
  <c r="G22" i="16"/>
  <c r="J182" i="16" s="1"/>
  <c r="G23" i="16"/>
  <c r="J183" i="16" s="1"/>
  <c r="G24" i="16"/>
  <c r="J171" i="16" s="1"/>
  <c r="G25" i="16"/>
  <c r="J172" i="16" s="1"/>
  <c r="G26" i="16"/>
  <c r="J173" i="16" s="1"/>
  <c r="G27" i="16"/>
  <c r="J174" i="16" s="1"/>
  <c r="G28" i="16"/>
  <c r="J188" i="16" s="1"/>
  <c r="G29" i="16"/>
  <c r="J176" i="16" s="1"/>
  <c r="G30" i="16"/>
  <c r="J190" i="16" s="1"/>
  <c r="G31" i="16"/>
  <c r="J178" i="16" s="1"/>
  <c r="G32" i="16"/>
  <c r="J179" i="16" s="1"/>
  <c r="F22" i="16"/>
  <c r="F23" i="16"/>
  <c r="J159" i="16" s="1"/>
  <c r="J160" i="16"/>
  <c r="F25" i="16"/>
  <c r="J161" i="16" s="1"/>
  <c r="F26" i="16"/>
  <c r="J162" i="16" s="1"/>
  <c r="F27" i="16"/>
  <c r="J163" i="16" s="1"/>
  <c r="F28" i="16"/>
  <c r="J164" i="16" s="1"/>
  <c r="F29" i="16"/>
  <c r="J165" i="16" s="1"/>
  <c r="F30" i="16"/>
  <c r="J166" i="16" s="1"/>
  <c r="F31" i="16"/>
  <c r="J167" i="16" s="1"/>
  <c r="J146" i="16"/>
  <c r="J126" i="16"/>
  <c r="D57" i="11"/>
  <c r="D58" i="11"/>
  <c r="D59" i="11"/>
  <c r="D60" i="11"/>
  <c r="D61" i="11"/>
  <c r="D62" i="11"/>
  <c r="D56" i="11"/>
  <c r="D34" i="11"/>
  <c r="E34" i="11" s="1"/>
  <c r="F95" i="18"/>
  <c r="G95" i="18"/>
  <c r="H95" i="18"/>
  <c r="I95" i="18"/>
  <c r="F96" i="18"/>
  <c r="G96" i="18"/>
  <c r="H96" i="18"/>
  <c r="I96" i="18"/>
  <c r="F82" i="18"/>
  <c r="G82" i="18"/>
  <c r="H82" i="18"/>
  <c r="I82" i="18"/>
  <c r="F83" i="18"/>
  <c r="G83" i="18"/>
  <c r="H83" i="18"/>
  <c r="I83" i="18"/>
  <c r="F46" i="18"/>
  <c r="G46" i="18"/>
  <c r="H46" i="18"/>
  <c r="I46" i="18"/>
  <c r="F112" i="16"/>
  <c r="G112" i="16"/>
  <c r="H112" i="16"/>
  <c r="I112" i="16"/>
  <c r="F113" i="16"/>
  <c r="G113" i="16"/>
  <c r="H113" i="16"/>
  <c r="I113" i="16"/>
  <c r="F99" i="16"/>
  <c r="G99" i="16"/>
  <c r="H99" i="16"/>
  <c r="I99" i="16"/>
  <c r="F100" i="16"/>
  <c r="G100" i="16"/>
  <c r="H100" i="16"/>
  <c r="I100" i="16"/>
  <c r="F56" i="40"/>
  <c r="D27" i="74" s="1"/>
  <c r="E27" i="74" s="1"/>
  <c r="F27" i="74" s="1"/>
  <c r="G27" i="74" s="1"/>
  <c r="H27" i="74" s="1"/>
  <c r="I27" i="74" s="1"/>
  <c r="J27" i="74" s="1"/>
  <c r="K27" i="74" s="1"/>
  <c r="L27" i="74" s="1"/>
  <c r="M27" i="74" s="1"/>
  <c r="N27" i="74" s="1"/>
  <c r="O27" i="74" s="1"/>
  <c r="P27" i="74" s="1"/>
  <c r="Q27" i="74" s="1"/>
  <c r="R27" i="74" s="1"/>
  <c r="S27" i="74" s="1"/>
  <c r="T27" i="74" s="1"/>
  <c r="U27" i="74" s="1"/>
  <c r="V27" i="74" s="1"/>
  <c r="W27" i="74" s="1"/>
  <c r="X27" i="74" s="1"/>
  <c r="Y27" i="74" s="1"/>
  <c r="Z27" i="74" s="1"/>
  <c r="AA27" i="74" s="1"/>
  <c r="AB27" i="74" s="1"/>
  <c r="AC27" i="74" s="1"/>
  <c r="H11" i="21"/>
  <c r="H64" i="71" s="1"/>
  <c r="H34" i="14"/>
  <c r="H29" i="14"/>
  <c r="D60" i="12"/>
  <c r="C48" i="10"/>
  <c r="E18" i="4"/>
  <c r="C23" i="43"/>
  <c r="H9" i="14"/>
  <c r="H19" i="17"/>
  <c r="H15" i="17"/>
  <c r="Q28" i="2"/>
  <c r="D34" i="37"/>
  <c r="C34" i="37"/>
  <c r="C38" i="37" s="1"/>
  <c r="F38" i="16"/>
  <c r="F46" i="10"/>
  <c r="F68" i="10"/>
  <c r="F47" i="10"/>
  <c r="F69" i="10"/>
  <c r="F48" i="10"/>
  <c r="F70" i="10"/>
  <c r="F49" i="10"/>
  <c r="F71" i="10"/>
  <c r="F50" i="10"/>
  <c r="F72" i="10"/>
  <c r="F51" i="10"/>
  <c r="F73" i="10"/>
  <c r="F45" i="10"/>
  <c r="F67" i="10"/>
  <c r="E46" i="10"/>
  <c r="E68" i="10"/>
  <c r="E47" i="10"/>
  <c r="E69" i="10"/>
  <c r="E48" i="10"/>
  <c r="E70" i="10"/>
  <c r="E49" i="10"/>
  <c r="E71" i="10"/>
  <c r="E50" i="10"/>
  <c r="E72" i="10"/>
  <c r="E51" i="10"/>
  <c r="E73" i="10"/>
  <c r="E45" i="10"/>
  <c r="E67" i="10"/>
  <c r="D46" i="10"/>
  <c r="D68" i="10"/>
  <c r="D47" i="10"/>
  <c r="D69" i="10"/>
  <c r="D48" i="10"/>
  <c r="D70" i="10"/>
  <c r="D49" i="10"/>
  <c r="D71" i="10"/>
  <c r="D50" i="10"/>
  <c r="D72" i="10"/>
  <c r="D51" i="10"/>
  <c r="D73" i="10"/>
  <c r="D45" i="10"/>
  <c r="D67" i="10"/>
  <c r="C47" i="10"/>
  <c r="C49" i="10"/>
  <c r="C71" i="10"/>
  <c r="C50" i="10"/>
  <c r="C72" i="10"/>
  <c r="C51" i="10"/>
  <c r="C73" i="10"/>
  <c r="E56" i="12"/>
  <c r="E55" i="12"/>
  <c r="E50" i="12"/>
  <c r="F50" i="12"/>
  <c r="G50" i="12"/>
  <c r="E52" i="12"/>
  <c r="G52" i="12"/>
  <c r="E53" i="12"/>
  <c r="G53" i="12"/>
  <c r="E54" i="12"/>
  <c r="G54" i="12"/>
  <c r="E51" i="12"/>
  <c r="G51" i="12"/>
  <c r="D51" i="11"/>
  <c r="G56" i="12"/>
  <c r="F56" i="12"/>
  <c r="D50" i="11"/>
  <c r="G55" i="12"/>
  <c r="F55" i="12"/>
  <c r="D49" i="11"/>
  <c r="F54" i="12"/>
  <c r="D48" i="11"/>
  <c r="D53" i="12" s="1"/>
  <c r="F53" i="12"/>
  <c r="D47" i="11"/>
  <c r="D52" i="12" s="1"/>
  <c r="D46" i="11"/>
  <c r="D51" i="12" s="1"/>
  <c r="F51" i="12"/>
  <c r="D45" i="11"/>
  <c r="D50" i="12"/>
  <c r="E6" i="32"/>
  <c r="E7" i="32" s="1"/>
  <c r="D12" i="32" s="1"/>
  <c r="I94" i="18"/>
  <c r="H94" i="18"/>
  <c r="G94" i="18"/>
  <c r="F94" i="18"/>
  <c r="I93" i="18"/>
  <c r="H93" i="18"/>
  <c r="G93" i="18"/>
  <c r="F93" i="18"/>
  <c r="I92" i="18"/>
  <c r="H92" i="18"/>
  <c r="G92" i="18"/>
  <c r="F92" i="18"/>
  <c r="I91" i="18"/>
  <c r="H91" i="18"/>
  <c r="G91" i="18"/>
  <c r="F91" i="18"/>
  <c r="I90" i="18"/>
  <c r="H90" i="18"/>
  <c r="G90" i="18"/>
  <c r="F90" i="18"/>
  <c r="I89" i="18"/>
  <c r="H89" i="18"/>
  <c r="G89" i="18"/>
  <c r="F89" i="18"/>
  <c r="I88" i="18"/>
  <c r="H88" i="18"/>
  <c r="G88" i="18"/>
  <c r="F88" i="18"/>
  <c r="I87" i="18"/>
  <c r="H87" i="18"/>
  <c r="G87" i="18"/>
  <c r="F87" i="18"/>
  <c r="I86" i="18"/>
  <c r="H86" i="18"/>
  <c r="G86" i="18"/>
  <c r="F86" i="18"/>
  <c r="I85" i="18"/>
  <c r="H85" i="18"/>
  <c r="G85" i="18"/>
  <c r="F85" i="18"/>
  <c r="I84" i="18"/>
  <c r="I165" i="18" s="1"/>
  <c r="H84" i="18"/>
  <c r="H165" i="18" s="1"/>
  <c r="G84" i="18"/>
  <c r="G165" i="18" s="1"/>
  <c r="F84" i="18"/>
  <c r="F165" i="18" s="1"/>
  <c r="I81" i="18"/>
  <c r="H81" i="18"/>
  <c r="G81" i="18"/>
  <c r="F81" i="18"/>
  <c r="I80" i="18"/>
  <c r="H80" i="18"/>
  <c r="G80" i="18"/>
  <c r="F80" i="18"/>
  <c r="I79" i="18"/>
  <c r="H79" i="18"/>
  <c r="G79" i="18"/>
  <c r="F79" i="18"/>
  <c r="I78" i="18"/>
  <c r="H78" i="18"/>
  <c r="G78" i="18"/>
  <c r="F78" i="18"/>
  <c r="I77" i="18"/>
  <c r="H77" i="18"/>
  <c r="G77" i="18"/>
  <c r="F77" i="18"/>
  <c r="I76" i="18"/>
  <c r="H76" i="18"/>
  <c r="G76" i="18"/>
  <c r="F76" i="18"/>
  <c r="I75" i="18"/>
  <c r="H75" i="18"/>
  <c r="G75" i="18"/>
  <c r="F75" i="18"/>
  <c r="I74" i="18"/>
  <c r="H74" i="18"/>
  <c r="G74" i="18"/>
  <c r="F74" i="18"/>
  <c r="I73" i="18"/>
  <c r="H73" i="18"/>
  <c r="G73" i="18"/>
  <c r="F73" i="18"/>
  <c r="I72" i="18"/>
  <c r="H72" i="18"/>
  <c r="G72" i="18"/>
  <c r="F72" i="18"/>
  <c r="I71" i="18"/>
  <c r="I152" i="18" s="1"/>
  <c r="H71" i="18"/>
  <c r="H152" i="18" s="1"/>
  <c r="G71" i="18"/>
  <c r="G152" i="18" s="1"/>
  <c r="F71" i="18"/>
  <c r="F152" i="18" s="1"/>
  <c r="I70" i="18"/>
  <c r="H70" i="18"/>
  <c r="G70" i="18"/>
  <c r="F70" i="18"/>
  <c r="I69" i="18"/>
  <c r="H69" i="18"/>
  <c r="G69" i="18"/>
  <c r="F69" i="18"/>
  <c r="I68" i="18"/>
  <c r="H68" i="18"/>
  <c r="G68" i="18"/>
  <c r="F68" i="18"/>
  <c r="I67" i="18"/>
  <c r="H67" i="18"/>
  <c r="G67" i="18"/>
  <c r="F67" i="18"/>
  <c r="I66" i="18"/>
  <c r="H66" i="18"/>
  <c r="G66" i="18"/>
  <c r="F66" i="18"/>
  <c r="I65" i="18"/>
  <c r="H65" i="18"/>
  <c r="G65" i="18"/>
  <c r="F65" i="18"/>
  <c r="I64" i="18"/>
  <c r="H64" i="18"/>
  <c r="G64" i="18"/>
  <c r="F64" i="18"/>
  <c r="I63" i="18"/>
  <c r="H63" i="18"/>
  <c r="G63" i="18"/>
  <c r="F63" i="18"/>
  <c r="I62" i="18"/>
  <c r="H62" i="18"/>
  <c r="G62" i="18"/>
  <c r="F62" i="18"/>
  <c r="I61" i="18"/>
  <c r="H61" i="18"/>
  <c r="G61" i="18"/>
  <c r="F61" i="18"/>
  <c r="I60" i="18"/>
  <c r="I141" i="18" s="1"/>
  <c r="H60" i="18"/>
  <c r="H141" i="18" s="1"/>
  <c r="G60" i="18"/>
  <c r="G141" i="18" s="1"/>
  <c r="F60" i="18"/>
  <c r="F141" i="18" s="1"/>
  <c r="I56" i="18"/>
  <c r="H56" i="18"/>
  <c r="G56" i="18"/>
  <c r="F56" i="18"/>
  <c r="I55" i="18"/>
  <c r="H55" i="18"/>
  <c r="G55" i="18"/>
  <c r="F55" i="18"/>
  <c r="I54" i="18"/>
  <c r="H54" i="18"/>
  <c r="G54" i="18"/>
  <c r="F54" i="18"/>
  <c r="I53" i="18"/>
  <c r="H53" i="18"/>
  <c r="G53" i="18"/>
  <c r="F53" i="18"/>
  <c r="I52" i="18"/>
  <c r="H52" i="18"/>
  <c r="G52" i="18"/>
  <c r="F52" i="18"/>
  <c r="I51" i="18"/>
  <c r="H51" i="18"/>
  <c r="G51" i="18"/>
  <c r="F51" i="18"/>
  <c r="I50" i="18"/>
  <c r="H50" i="18"/>
  <c r="G50" i="18"/>
  <c r="F50" i="18"/>
  <c r="I49" i="18"/>
  <c r="I130" i="18" s="1"/>
  <c r="H49" i="18"/>
  <c r="H130" i="18" s="1"/>
  <c r="G49" i="18"/>
  <c r="G130" i="18" s="1"/>
  <c r="F49" i="18"/>
  <c r="F130" i="18" s="1"/>
  <c r="I45" i="18"/>
  <c r="H45" i="18"/>
  <c r="G45" i="18"/>
  <c r="F45" i="18"/>
  <c r="I44" i="18"/>
  <c r="H44" i="18"/>
  <c r="G44" i="18"/>
  <c r="F44" i="18"/>
  <c r="I43" i="18"/>
  <c r="H43" i="18"/>
  <c r="G43" i="18"/>
  <c r="F43" i="18"/>
  <c r="I42" i="18"/>
  <c r="H42" i="18"/>
  <c r="G42" i="18"/>
  <c r="F42" i="18"/>
  <c r="I41" i="18"/>
  <c r="H41" i="18"/>
  <c r="G41" i="18"/>
  <c r="F41" i="18"/>
  <c r="I40" i="18"/>
  <c r="H40" i="18"/>
  <c r="G40" i="18"/>
  <c r="F40" i="18"/>
  <c r="I39" i="18"/>
  <c r="H39" i="18"/>
  <c r="G39" i="18"/>
  <c r="F39" i="18"/>
  <c r="I38" i="18"/>
  <c r="I119" i="18" s="1"/>
  <c r="H38" i="18"/>
  <c r="H119" i="18" s="1"/>
  <c r="G38" i="18"/>
  <c r="G119" i="18" s="1"/>
  <c r="F38" i="18"/>
  <c r="F119" i="18" s="1"/>
  <c r="I31" i="18"/>
  <c r="H31" i="18"/>
  <c r="G31" i="18"/>
  <c r="F31" i="18"/>
  <c r="I30" i="18"/>
  <c r="H30" i="18"/>
  <c r="G30" i="18"/>
  <c r="F30" i="18"/>
  <c r="I29" i="18"/>
  <c r="H29" i="18"/>
  <c r="G29" i="18"/>
  <c r="F29" i="18"/>
  <c r="I28" i="18"/>
  <c r="H28" i="18"/>
  <c r="G28" i="18"/>
  <c r="F28" i="18"/>
  <c r="I27" i="18"/>
  <c r="I108" i="18" s="1"/>
  <c r="H27" i="18"/>
  <c r="H108" i="18" s="1"/>
  <c r="G27" i="18"/>
  <c r="G108" i="18" s="1"/>
  <c r="F27" i="18"/>
  <c r="F108" i="18" s="1"/>
  <c r="I26" i="18"/>
  <c r="H26" i="18"/>
  <c r="G26" i="18"/>
  <c r="F26" i="18"/>
  <c r="I25" i="18"/>
  <c r="H25" i="18"/>
  <c r="G25" i="18"/>
  <c r="F25" i="18"/>
  <c r="I24" i="18"/>
  <c r="H24" i="18"/>
  <c r="G24" i="18"/>
  <c r="F24" i="18"/>
  <c r="I23" i="18"/>
  <c r="H23" i="18"/>
  <c r="G23" i="18"/>
  <c r="F23" i="18"/>
  <c r="I22" i="18"/>
  <c r="H22" i="18"/>
  <c r="G22" i="18"/>
  <c r="F22" i="18"/>
  <c r="I21" i="18"/>
  <c r="I102" i="18" s="1"/>
  <c r="H21" i="18"/>
  <c r="H102" i="18" s="1"/>
  <c r="G21" i="18"/>
  <c r="G102" i="18" s="1"/>
  <c r="F21" i="18"/>
  <c r="F102" i="18" s="1"/>
  <c r="I111" i="16"/>
  <c r="H111" i="16"/>
  <c r="G111" i="16"/>
  <c r="F111" i="16"/>
  <c r="I110" i="16"/>
  <c r="H110" i="16"/>
  <c r="G110" i="16"/>
  <c r="F110" i="16"/>
  <c r="I109" i="16"/>
  <c r="H109" i="16"/>
  <c r="G109" i="16"/>
  <c r="F109" i="16"/>
  <c r="I108" i="16"/>
  <c r="H108" i="16"/>
  <c r="G108" i="16"/>
  <c r="F108" i="16"/>
  <c r="I107" i="16"/>
  <c r="H107" i="16"/>
  <c r="G107" i="16"/>
  <c r="F107" i="16"/>
  <c r="I106" i="16"/>
  <c r="H106" i="16"/>
  <c r="G106" i="16"/>
  <c r="F106" i="16"/>
  <c r="I105" i="16"/>
  <c r="H105" i="16"/>
  <c r="G105" i="16"/>
  <c r="F105" i="16"/>
  <c r="I104" i="16"/>
  <c r="H104" i="16"/>
  <c r="G104" i="16"/>
  <c r="F104" i="16"/>
  <c r="I103" i="16"/>
  <c r="H103" i="16"/>
  <c r="G103" i="16"/>
  <c r="F103" i="16"/>
  <c r="I102" i="16"/>
  <c r="H102" i="16"/>
  <c r="G102" i="16"/>
  <c r="F102" i="16"/>
  <c r="I101" i="16"/>
  <c r="H101" i="16"/>
  <c r="G101" i="16"/>
  <c r="F101" i="16"/>
  <c r="I98" i="16"/>
  <c r="H98" i="16"/>
  <c r="G98" i="16"/>
  <c r="F98" i="16"/>
  <c r="I97" i="16"/>
  <c r="H97" i="16"/>
  <c r="G97" i="16"/>
  <c r="F97" i="16"/>
  <c r="I96" i="16"/>
  <c r="H96" i="16"/>
  <c r="G96" i="16"/>
  <c r="F96" i="16"/>
  <c r="I95" i="16"/>
  <c r="H95" i="16"/>
  <c r="G95" i="16"/>
  <c r="F95" i="16"/>
  <c r="I94" i="16"/>
  <c r="H94" i="16"/>
  <c r="G94" i="16"/>
  <c r="F94" i="16"/>
  <c r="I93" i="16"/>
  <c r="H93" i="16"/>
  <c r="G93" i="16"/>
  <c r="F93" i="16"/>
  <c r="I92" i="16"/>
  <c r="H92" i="16"/>
  <c r="G92" i="16"/>
  <c r="F92" i="16"/>
  <c r="I91" i="16"/>
  <c r="H91" i="16"/>
  <c r="G91" i="16"/>
  <c r="F91" i="16"/>
  <c r="I90" i="16"/>
  <c r="H90" i="16"/>
  <c r="G90" i="16"/>
  <c r="F90" i="16"/>
  <c r="I89" i="16"/>
  <c r="H89" i="16"/>
  <c r="G89" i="16"/>
  <c r="F89" i="16"/>
  <c r="I88" i="16"/>
  <c r="H88" i="16"/>
  <c r="G88" i="16"/>
  <c r="F88" i="16"/>
  <c r="I87" i="16"/>
  <c r="H87" i="16"/>
  <c r="G87" i="16"/>
  <c r="F87" i="16"/>
  <c r="I86" i="16"/>
  <c r="H86" i="16"/>
  <c r="G86" i="16"/>
  <c r="F86" i="16"/>
  <c r="I85" i="16"/>
  <c r="H85" i="16"/>
  <c r="G85" i="16"/>
  <c r="F85" i="16"/>
  <c r="I84" i="16"/>
  <c r="H84" i="16"/>
  <c r="G84" i="16"/>
  <c r="F84" i="16"/>
  <c r="I83" i="16"/>
  <c r="H83" i="16"/>
  <c r="G83" i="16"/>
  <c r="F83" i="16"/>
  <c r="I82" i="16"/>
  <c r="H82" i="16"/>
  <c r="G82" i="16"/>
  <c r="F82" i="16"/>
  <c r="I81" i="16"/>
  <c r="H81" i="16"/>
  <c r="G81" i="16"/>
  <c r="G161" i="16" s="1"/>
  <c r="F81" i="16"/>
  <c r="F161" i="16" s="1"/>
  <c r="I80" i="16"/>
  <c r="H80" i="16"/>
  <c r="G80" i="16"/>
  <c r="F80" i="16"/>
  <c r="I79" i="16"/>
  <c r="H79" i="16"/>
  <c r="G79" i="16"/>
  <c r="F79" i="16"/>
  <c r="I78" i="16"/>
  <c r="H78" i="16"/>
  <c r="G78" i="16"/>
  <c r="F78" i="16"/>
  <c r="I77" i="16"/>
  <c r="H77" i="16"/>
  <c r="G77" i="16"/>
  <c r="F77" i="16"/>
  <c r="I73" i="16"/>
  <c r="I153" i="16" s="1"/>
  <c r="H73" i="16"/>
  <c r="H153" i="16" s="1"/>
  <c r="G73" i="16"/>
  <c r="G153" i="16" s="1"/>
  <c r="F73" i="16"/>
  <c r="I72" i="16"/>
  <c r="H72" i="16"/>
  <c r="G72" i="16"/>
  <c r="F72" i="16"/>
  <c r="I71" i="16"/>
  <c r="H71" i="16"/>
  <c r="G71" i="16"/>
  <c r="F71" i="16"/>
  <c r="I70" i="16"/>
  <c r="H70" i="16"/>
  <c r="G70" i="16"/>
  <c r="F70" i="16"/>
  <c r="I69" i="16"/>
  <c r="H69" i="16"/>
  <c r="G69" i="16"/>
  <c r="F69" i="16"/>
  <c r="I68" i="16"/>
  <c r="H68" i="16"/>
  <c r="G68" i="16"/>
  <c r="F68" i="16"/>
  <c r="I67" i="16"/>
  <c r="H67" i="16"/>
  <c r="G67" i="16"/>
  <c r="F67" i="16"/>
  <c r="I66" i="16"/>
  <c r="H66" i="16"/>
  <c r="G66" i="16"/>
  <c r="F66" i="16"/>
  <c r="I62" i="16"/>
  <c r="H62" i="16"/>
  <c r="G62" i="16"/>
  <c r="F62" i="16"/>
  <c r="I61" i="16"/>
  <c r="H61" i="16"/>
  <c r="G61" i="16"/>
  <c r="F61" i="16"/>
  <c r="I60" i="16"/>
  <c r="H60" i="16"/>
  <c r="G60" i="16"/>
  <c r="F60" i="16"/>
  <c r="I59" i="16"/>
  <c r="H59" i="16"/>
  <c r="G59" i="16"/>
  <c r="F59" i="16"/>
  <c r="I58" i="16"/>
  <c r="H58" i="16"/>
  <c r="G58" i="16"/>
  <c r="F58" i="16"/>
  <c r="I57" i="16"/>
  <c r="H57" i="16"/>
  <c r="G57" i="16"/>
  <c r="F57" i="16"/>
  <c r="I56" i="16"/>
  <c r="H56" i="16"/>
  <c r="G56" i="16"/>
  <c r="F56" i="16"/>
  <c r="I55" i="16"/>
  <c r="H55" i="16"/>
  <c r="G55" i="16"/>
  <c r="F55" i="16"/>
  <c r="I49" i="16"/>
  <c r="H49" i="16"/>
  <c r="G49" i="16"/>
  <c r="F49" i="16"/>
  <c r="I48" i="16"/>
  <c r="H48" i="16"/>
  <c r="G48" i="16"/>
  <c r="F48" i="16"/>
  <c r="I47" i="16"/>
  <c r="H47" i="16"/>
  <c r="G47" i="16"/>
  <c r="F47" i="16"/>
  <c r="I46" i="16"/>
  <c r="H46" i="16"/>
  <c r="G46" i="16"/>
  <c r="F46" i="16"/>
  <c r="I45" i="16"/>
  <c r="H45" i="16"/>
  <c r="G45" i="16"/>
  <c r="F45" i="16"/>
  <c r="I44" i="16"/>
  <c r="H44" i="16"/>
  <c r="G44" i="16"/>
  <c r="F44" i="16"/>
  <c r="I43" i="16"/>
  <c r="H43" i="16"/>
  <c r="G43" i="16"/>
  <c r="F43" i="16"/>
  <c r="I42" i="16"/>
  <c r="H42" i="16"/>
  <c r="G42" i="16"/>
  <c r="F42" i="16"/>
  <c r="I41" i="16"/>
  <c r="H41" i="16"/>
  <c r="G41" i="16"/>
  <c r="F41" i="16"/>
  <c r="I40" i="16"/>
  <c r="H40" i="16"/>
  <c r="G40" i="16"/>
  <c r="F40" i="16"/>
  <c r="I39" i="16"/>
  <c r="H39" i="16"/>
  <c r="G39" i="16"/>
  <c r="F39" i="16"/>
  <c r="I38" i="16"/>
  <c r="H38" i="16"/>
  <c r="G38" i="16"/>
  <c r="D40" i="11"/>
  <c r="E40" i="11"/>
  <c r="E62" i="11" s="1"/>
  <c r="D39" i="11"/>
  <c r="E39" i="11" s="1"/>
  <c r="D38" i="11"/>
  <c r="E38" i="11" s="1"/>
  <c r="E60" i="11" s="1"/>
  <c r="D37" i="11"/>
  <c r="E37" i="11"/>
  <c r="E59" i="11" s="1"/>
  <c r="D36" i="11"/>
  <c r="E36" i="11"/>
  <c r="E58" i="11" s="1"/>
  <c r="D35" i="11"/>
  <c r="E35" i="11"/>
  <c r="H33" i="14"/>
  <c r="E28" i="12"/>
  <c r="E39" i="12" s="1"/>
  <c r="F28" i="12"/>
  <c r="F39" i="12" s="1"/>
  <c r="G28" i="12"/>
  <c r="G39" i="12" s="1"/>
  <c r="E29" i="12"/>
  <c r="E40" i="12" s="1"/>
  <c r="F29" i="12"/>
  <c r="F40" i="12" s="1"/>
  <c r="G29" i="12"/>
  <c r="G40" i="12" s="1"/>
  <c r="E30" i="12"/>
  <c r="E41" i="12" s="1"/>
  <c r="F30" i="12"/>
  <c r="F41" i="12" s="1"/>
  <c r="G30" i="12"/>
  <c r="G41" i="12" s="1"/>
  <c r="E31" i="12"/>
  <c r="E42" i="12" s="1"/>
  <c r="F31" i="12"/>
  <c r="F42" i="12" s="1"/>
  <c r="G31" i="12"/>
  <c r="G42" i="12" s="1"/>
  <c r="E32" i="12"/>
  <c r="E43" i="12" s="1"/>
  <c r="F32" i="12"/>
  <c r="F43" i="12" s="1"/>
  <c r="G32" i="12"/>
  <c r="G43" i="12" s="1"/>
  <c r="E33" i="12"/>
  <c r="E44" i="12" s="1"/>
  <c r="F33" i="12"/>
  <c r="F44" i="12" s="1"/>
  <c r="G33" i="12"/>
  <c r="G44" i="12" s="1"/>
  <c r="E34" i="12"/>
  <c r="E45" i="12" s="1"/>
  <c r="F34" i="12"/>
  <c r="F45" i="12" s="1"/>
  <c r="G34" i="12"/>
  <c r="G45" i="12" s="1"/>
  <c r="D29" i="12"/>
  <c r="D40" i="12" s="1"/>
  <c r="D30" i="12"/>
  <c r="D41" i="12" s="1"/>
  <c r="D31" i="12"/>
  <c r="D42" i="12" s="1"/>
  <c r="D32" i="12"/>
  <c r="D43" i="12" s="1"/>
  <c r="D33" i="12"/>
  <c r="D44" i="12" s="1"/>
  <c r="D34" i="12"/>
  <c r="D45" i="12" s="1"/>
  <c r="S18" i="2"/>
  <c r="R18" i="2"/>
  <c r="Q19" i="2"/>
  <c r="R19" i="2"/>
  <c r="S19" i="2"/>
  <c r="Q20" i="2"/>
  <c r="R20" i="2"/>
  <c r="S20" i="2"/>
  <c r="Q21" i="2"/>
  <c r="R21" i="2"/>
  <c r="S21" i="2"/>
  <c r="Q22" i="2"/>
  <c r="R22" i="2"/>
  <c r="S22" i="2"/>
  <c r="Q23" i="2"/>
  <c r="R23" i="2"/>
  <c r="S23" i="2"/>
  <c r="Q24" i="2"/>
  <c r="R24" i="2"/>
  <c r="S24" i="2"/>
  <c r="Q25" i="2"/>
  <c r="R25" i="2"/>
  <c r="S25" i="2"/>
  <c r="Q26" i="2"/>
  <c r="R26" i="2"/>
  <c r="S26" i="2"/>
  <c r="Q27" i="2"/>
  <c r="R27" i="2"/>
  <c r="S27" i="2"/>
  <c r="R28" i="2"/>
  <c r="S28" i="2"/>
  <c r="Q29" i="2"/>
  <c r="R29" i="2"/>
  <c r="S29" i="2"/>
  <c r="Q30" i="2"/>
  <c r="R30" i="2"/>
  <c r="S30" i="2"/>
  <c r="Q31" i="2"/>
  <c r="R31" i="2"/>
  <c r="S31" i="2"/>
  <c r="Q32" i="2"/>
  <c r="R32" i="2"/>
  <c r="S32" i="2"/>
  <c r="Q33" i="2"/>
  <c r="R33" i="2"/>
  <c r="S33" i="2"/>
  <c r="Q34" i="2"/>
  <c r="R34" i="2"/>
  <c r="S34" i="2"/>
  <c r="Q35" i="2"/>
  <c r="R35" i="2"/>
  <c r="S35" i="2"/>
  <c r="Q36" i="2"/>
  <c r="R36" i="2"/>
  <c r="S36" i="2"/>
  <c r="Q37" i="2"/>
  <c r="R37" i="2"/>
  <c r="S37" i="2"/>
  <c r="Q38" i="2"/>
  <c r="R38" i="2"/>
  <c r="S38" i="2"/>
  <c r="Q39" i="2"/>
  <c r="R39" i="2"/>
  <c r="S39" i="2"/>
  <c r="Q40" i="2"/>
  <c r="R40" i="2"/>
  <c r="S40" i="2"/>
  <c r="Q41" i="2"/>
  <c r="R41" i="2"/>
  <c r="S41" i="2"/>
  <c r="Q42" i="2"/>
  <c r="R42" i="2"/>
  <c r="S42" i="2"/>
  <c r="Q43" i="2"/>
  <c r="R43" i="2"/>
  <c r="S43" i="2"/>
  <c r="Q44" i="2"/>
  <c r="R44" i="2"/>
  <c r="S44" i="2"/>
  <c r="Q45" i="2"/>
  <c r="R45" i="2"/>
  <c r="S45" i="2"/>
  <c r="Q46" i="2"/>
  <c r="R46" i="2"/>
  <c r="S46" i="2"/>
  <c r="Q47" i="2"/>
  <c r="R47" i="2"/>
  <c r="S47" i="2"/>
  <c r="Q48" i="2"/>
  <c r="R48" i="2"/>
  <c r="S48" i="2"/>
  <c r="Q49" i="2"/>
  <c r="R49" i="2"/>
  <c r="S49" i="2"/>
  <c r="Q50" i="2"/>
  <c r="R50" i="2"/>
  <c r="S50" i="2"/>
  <c r="Q51" i="2"/>
  <c r="R51" i="2"/>
  <c r="S51" i="2"/>
  <c r="Q52" i="2"/>
  <c r="R52" i="2"/>
  <c r="S52" i="2"/>
  <c r="Q53" i="2"/>
  <c r="R53" i="2"/>
  <c r="S53" i="2"/>
  <c r="Q54" i="2"/>
  <c r="R54" i="2"/>
  <c r="S54" i="2"/>
  <c r="Q55" i="2"/>
  <c r="R55" i="2"/>
  <c r="S55" i="2"/>
  <c r="Q56" i="2"/>
  <c r="R56" i="2"/>
  <c r="S56" i="2"/>
  <c r="Q57" i="2"/>
  <c r="R57" i="2"/>
  <c r="S57" i="2"/>
  <c r="Q58" i="2"/>
  <c r="R58" i="2"/>
  <c r="S58" i="2"/>
  <c r="Q59" i="2"/>
  <c r="R59" i="2"/>
  <c r="S59" i="2"/>
  <c r="Q60" i="2"/>
  <c r="R60" i="2"/>
  <c r="S60" i="2"/>
  <c r="Q61" i="2"/>
  <c r="R61" i="2"/>
  <c r="S61" i="2"/>
  <c r="Q62" i="2"/>
  <c r="R62" i="2"/>
  <c r="S62" i="2"/>
  <c r="Q63" i="2"/>
  <c r="R63" i="2"/>
  <c r="S63" i="2"/>
  <c r="Q64" i="2"/>
  <c r="R64" i="2"/>
  <c r="S64" i="2"/>
  <c r="Q65" i="2"/>
  <c r="R65" i="2"/>
  <c r="S65" i="2"/>
  <c r="Q66" i="2"/>
  <c r="R66" i="2"/>
  <c r="S66" i="2"/>
  <c r="Q67" i="2"/>
  <c r="R67" i="2"/>
  <c r="S67" i="2"/>
  <c r="Q68" i="2"/>
  <c r="R68" i="2"/>
  <c r="S68" i="2"/>
  <c r="Q69" i="2"/>
  <c r="R69" i="2"/>
  <c r="S69" i="2"/>
  <c r="Q70" i="2"/>
  <c r="R70" i="2"/>
  <c r="S70" i="2"/>
  <c r="Q71" i="2"/>
  <c r="R71" i="2"/>
  <c r="S71" i="2"/>
  <c r="Q72" i="2"/>
  <c r="R72" i="2"/>
  <c r="S72" i="2"/>
  <c r="Q73" i="2"/>
  <c r="R73" i="2"/>
  <c r="S73" i="2"/>
  <c r="Q74" i="2"/>
  <c r="R74" i="2"/>
  <c r="S74" i="2"/>
  <c r="Q75" i="2"/>
  <c r="R75" i="2"/>
  <c r="S75" i="2"/>
  <c r="Q76" i="2"/>
  <c r="R76" i="2"/>
  <c r="S76" i="2"/>
  <c r="Q77" i="2"/>
  <c r="R77" i="2"/>
  <c r="S77" i="2"/>
  <c r="Q78" i="2"/>
  <c r="R78" i="2"/>
  <c r="S78" i="2"/>
  <c r="Q79" i="2"/>
  <c r="R79" i="2"/>
  <c r="S79" i="2"/>
  <c r="Q80" i="2"/>
  <c r="R80" i="2"/>
  <c r="S80" i="2"/>
  <c r="Q81" i="2"/>
  <c r="R81" i="2"/>
  <c r="S81" i="2"/>
  <c r="Q82" i="2"/>
  <c r="R82" i="2"/>
  <c r="S82" i="2"/>
  <c r="Q83" i="2"/>
  <c r="R83" i="2"/>
  <c r="S83" i="2"/>
  <c r="Q84" i="2"/>
  <c r="R84" i="2"/>
  <c r="S84" i="2"/>
  <c r="Q85" i="2"/>
  <c r="R85" i="2"/>
  <c r="S85" i="2"/>
  <c r="Q86" i="2"/>
  <c r="R86" i="2"/>
  <c r="S86" i="2"/>
  <c r="Q87" i="2"/>
  <c r="R87" i="2"/>
  <c r="S87" i="2"/>
  <c r="Q88" i="2"/>
  <c r="R88" i="2"/>
  <c r="S88" i="2"/>
  <c r="Q89" i="2"/>
  <c r="R89" i="2"/>
  <c r="S89" i="2"/>
  <c r="Q90" i="2"/>
  <c r="R90" i="2"/>
  <c r="S90" i="2"/>
  <c r="Q91" i="2"/>
  <c r="R91" i="2"/>
  <c r="S91" i="2"/>
  <c r="Q92" i="2"/>
  <c r="R92" i="2"/>
  <c r="S92" i="2"/>
  <c r="Q93" i="2"/>
  <c r="R93" i="2"/>
  <c r="S93" i="2"/>
  <c r="Q94" i="2"/>
  <c r="R94" i="2"/>
  <c r="S94" i="2"/>
  <c r="Q95" i="2"/>
  <c r="R95" i="2"/>
  <c r="S95" i="2"/>
  <c r="Q96" i="2"/>
  <c r="R96" i="2"/>
  <c r="S96" i="2"/>
  <c r="Q97" i="2"/>
  <c r="R97" i="2"/>
  <c r="S97" i="2"/>
  <c r="Q98" i="2"/>
  <c r="R98" i="2"/>
  <c r="S98" i="2"/>
  <c r="Q99" i="2"/>
  <c r="R99" i="2"/>
  <c r="S99" i="2"/>
  <c r="Q100" i="2"/>
  <c r="R100" i="2"/>
  <c r="S100" i="2"/>
  <c r="Q101" i="2"/>
  <c r="R101" i="2"/>
  <c r="S101" i="2"/>
  <c r="Q102" i="2"/>
  <c r="R102" i="2"/>
  <c r="S102" i="2"/>
  <c r="Q103" i="2"/>
  <c r="R103" i="2"/>
  <c r="S103" i="2"/>
  <c r="Q104" i="2"/>
  <c r="R104" i="2"/>
  <c r="S104" i="2"/>
  <c r="Q105" i="2"/>
  <c r="R105" i="2"/>
  <c r="S105" i="2"/>
  <c r="Q106" i="2"/>
  <c r="R106" i="2"/>
  <c r="S106" i="2"/>
  <c r="Q107" i="2"/>
  <c r="R107" i="2"/>
  <c r="S107" i="2"/>
  <c r="Q108" i="2"/>
  <c r="R108" i="2"/>
  <c r="S108" i="2"/>
  <c r="Q109" i="2"/>
  <c r="R109" i="2"/>
  <c r="S109" i="2"/>
  <c r="Q110" i="2"/>
  <c r="R110" i="2"/>
  <c r="S110" i="2"/>
  <c r="Q111" i="2"/>
  <c r="R111" i="2"/>
  <c r="S111" i="2"/>
  <c r="Q112" i="2"/>
  <c r="R112" i="2"/>
  <c r="S112" i="2"/>
  <c r="Q113" i="2"/>
  <c r="R113" i="2"/>
  <c r="S113" i="2"/>
  <c r="Q114" i="2"/>
  <c r="R114" i="2"/>
  <c r="S114" i="2"/>
  <c r="Q115" i="2"/>
  <c r="R115" i="2"/>
  <c r="S115" i="2"/>
  <c r="Q116" i="2"/>
  <c r="R116" i="2"/>
  <c r="S116" i="2"/>
  <c r="Q117" i="2"/>
  <c r="R117" i="2"/>
  <c r="S117" i="2"/>
  <c r="D55" i="12"/>
  <c r="D56" i="12"/>
  <c r="F52" i="12"/>
  <c r="D54" i="12"/>
  <c r="J135" i="16"/>
  <c r="J150" i="16"/>
  <c r="J124" i="16"/>
  <c r="C14" i="39"/>
  <c r="E14" i="39" s="1"/>
  <c r="F14" i="39" s="1"/>
  <c r="C19" i="39"/>
  <c r="E19" i="39" s="1"/>
  <c r="F19" i="39" s="1"/>
  <c r="C9" i="39"/>
  <c r="E9" i="39" s="1"/>
  <c r="F9" i="39" s="1"/>
  <c r="C20" i="39"/>
  <c r="E20" i="39" s="1"/>
  <c r="F20" i="39" s="1"/>
  <c r="C11" i="39"/>
  <c r="E11" i="39" s="1"/>
  <c r="F11" i="39" s="1"/>
  <c r="C10" i="39"/>
  <c r="E10" i="39" s="1"/>
  <c r="F10" i="39" s="1"/>
  <c r="H18" i="14"/>
  <c r="C42" i="40" s="1"/>
  <c r="E15" i="39"/>
  <c r="F15" i="39" s="1"/>
  <c r="C47" i="43"/>
  <c r="F115" i="46"/>
  <c r="F108" i="46"/>
  <c r="O23" i="78" l="1"/>
  <c r="N5" i="76" s="1"/>
  <c r="D9" i="31"/>
  <c r="M19" i="75"/>
  <c r="N19" i="75"/>
  <c r="O19" i="75"/>
  <c r="P19" i="75"/>
  <c r="Q19" i="75"/>
  <c r="D15" i="17"/>
  <c r="C42" i="37"/>
  <c r="C19" i="75"/>
  <c r="D19" i="75"/>
  <c r="E19" i="75"/>
  <c r="F19" i="75"/>
  <c r="G19" i="75"/>
  <c r="H19" i="75"/>
  <c r="I19" i="75"/>
  <c r="J19" i="75"/>
  <c r="K19" i="75"/>
  <c r="L19" i="75"/>
  <c r="C32" i="40"/>
  <c r="H21" i="71"/>
  <c r="C47" i="40"/>
  <c r="H46" i="71"/>
  <c r="C33" i="40"/>
  <c r="H22" i="71"/>
  <c r="C46" i="40"/>
  <c r="H45" i="71"/>
  <c r="H30" i="71"/>
  <c r="C26" i="40"/>
  <c r="H41" i="71"/>
  <c r="C23" i="40"/>
  <c r="H38" i="71"/>
  <c r="Q378" i="72"/>
  <c r="O353" i="72"/>
  <c r="O354" i="72" s="1"/>
  <c r="Q10" i="78" s="1"/>
  <c r="P353" i="72"/>
  <c r="P354" i="72" s="1"/>
  <c r="Q16" i="78" s="1"/>
  <c r="Q402" i="72"/>
  <c r="Q427" i="72" s="1"/>
  <c r="Q452" i="72" s="1"/>
  <c r="Q477" i="72" s="1"/>
  <c r="Q502" i="72" s="1"/>
  <c r="Q527" i="72" s="1"/>
  <c r="Q552" i="72" s="1"/>
  <c r="Q577" i="72" s="1"/>
  <c r="Q602" i="72" s="1"/>
  <c r="Q627" i="72" s="1"/>
  <c r="P377" i="72"/>
  <c r="O377" i="72"/>
  <c r="P22" i="78"/>
  <c r="F87" i="5"/>
  <c r="D9" i="41"/>
  <c r="F9" i="41" s="1"/>
  <c r="G241" i="16"/>
  <c r="H211" i="16"/>
  <c r="H213" i="16"/>
  <c r="H210" i="16"/>
  <c r="H214" i="16"/>
  <c r="H212" i="16"/>
  <c r="I213" i="16"/>
  <c r="I212" i="16"/>
  <c r="I211" i="16"/>
  <c r="I214" i="16"/>
  <c r="I210" i="16"/>
  <c r="G211" i="16"/>
  <c r="G213" i="16"/>
  <c r="G210" i="16"/>
  <c r="G212" i="16"/>
  <c r="G214" i="16"/>
  <c r="J118" i="16"/>
  <c r="J34" i="18"/>
  <c r="J37" i="18"/>
  <c r="J33" i="18"/>
  <c r="J36" i="18"/>
  <c r="J32" i="18"/>
  <c r="J35" i="18"/>
  <c r="J28" i="18"/>
  <c r="F109" i="18" s="1"/>
  <c r="F12" i="30"/>
  <c r="E9" i="13"/>
  <c r="F210" i="16"/>
  <c r="F211" i="16"/>
  <c r="F212" i="16"/>
  <c r="F214" i="16"/>
  <c r="F213" i="16"/>
  <c r="F126" i="16"/>
  <c r="F206" i="16" s="1"/>
  <c r="I164" i="16"/>
  <c r="I244" i="16" s="1"/>
  <c r="G176" i="16"/>
  <c r="J187" i="16"/>
  <c r="H187" i="16" s="1"/>
  <c r="H267" i="16" s="1"/>
  <c r="J50" i="18"/>
  <c r="H131" i="18" s="1"/>
  <c r="J59" i="18"/>
  <c r="J45" i="18"/>
  <c r="H126" i="18" s="1"/>
  <c r="J58" i="18"/>
  <c r="J46" i="18"/>
  <c r="G127" i="18" s="1"/>
  <c r="J48" i="18"/>
  <c r="J47" i="18"/>
  <c r="F10" i="30"/>
  <c r="D19" i="17"/>
  <c r="D9" i="19"/>
  <c r="H16" i="14" s="1"/>
  <c r="C40" i="40" s="1"/>
  <c r="F11" i="30"/>
  <c r="E54" i="1"/>
  <c r="F54" i="1"/>
  <c r="E61" i="11"/>
  <c r="E57" i="11"/>
  <c r="E32" i="40"/>
  <c r="F123" i="46"/>
  <c r="C51" i="43"/>
  <c r="E56" i="11"/>
  <c r="F63" i="40"/>
  <c r="F241" i="16"/>
  <c r="D28" i="17"/>
  <c r="H8" i="14" s="1"/>
  <c r="I31" i="16"/>
  <c r="J156" i="16"/>
  <c r="J145" i="16"/>
  <c r="J154" i="16"/>
  <c r="J155" i="16"/>
  <c r="J144" i="16"/>
  <c r="F153" i="16"/>
  <c r="F233" i="16" s="1"/>
  <c r="I24" i="16"/>
  <c r="G138" i="16"/>
  <c r="G218" i="16" s="1"/>
  <c r="G146" i="16"/>
  <c r="G226" i="16" s="1"/>
  <c r="G164" i="16"/>
  <c r="G244" i="16" s="1"/>
  <c r="G188" i="16"/>
  <c r="G268" i="16" s="1"/>
  <c r="J142" i="16"/>
  <c r="G142" i="16" s="1"/>
  <c r="G222" i="16" s="1"/>
  <c r="J51" i="18"/>
  <c r="H132" i="18" s="1"/>
  <c r="J123" i="16"/>
  <c r="F123" i="16" s="1"/>
  <c r="F203" i="16" s="1"/>
  <c r="F164" i="16"/>
  <c r="F244" i="16" s="1"/>
  <c r="I28" i="16"/>
  <c r="J52" i="18"/>
  <c r="I133" i="18" s="1"/>
  <c r="J39" i="18"/>
  <c r="F120" i="18" s="1"/>
  <c r="J193" i="16"/>
  <c r="F193" i="16" s="1"/>
  <c r="F273" i="16" s="1"/>
  <c r="J149" i="16"/>
  <c r="G149" i="16" s="1"/>
  <c r="G229" i="16" s="1"/>
  <c r="J61" i="18"/>
  <c r="G142" i="18" s="1"/>
  <c r="H164" i="16"/>
  <c r="H244" i="16" s="1"/>
  <c r="H172" i="16"/>
  <c r="H252" i="16" s="1"/>
  <c r="H188" i="16"/>
  <c r="H268" i="16" s="1"/>
  <c r="J120" i="16"/>
  <c r="H120" i="16" s="1"/>
  <c r="H200" i="16" s="1"/>
  <c r="J129" i="16"/>
  <c r="G129" i="16" s="1"/>
  <c r="G209" i="16" s="1"/>
  <c r="J141" i="16"/>
  <c r="G141" i="16" s="1"/>
  <c r="G221" i="16" s="1"/>
  <c r="J177" i="16"/>
  <c r="G177" i="16" s="1"/>
  <c r="G257" i="16" s="1"/>
  <c r="G126" i="16"/>
  <c r="G206" i="16" s="1"/>
  <c r="J122" i="16"/>
  <c r="H122" i="16" s="1"/>
  <c r="H202" i="16" s="1"/>
  <c r="G118" i="16"/>
  <c r="G198" i="16" s="1"/>
  <c r="G135" i="16"/>
  <c r="G215" i="16" s="1"/>
  <c r="G162" i="16"/>
  <c r="G242" i="16" s="1"/>
  <c r="G165" i="16"/>
  <c r="G245" i="16" s="1"/>
  <c r="G174" i="16"/>
  <c r="G254" i="16" s="1"/>
  <c r="F135" i="16"/>
  <c r="F215" i="16" s="1"/>
  <c r="J26" i="18"/>
  <c r="F107" i="18" s="1"/>
  <c r="I27" i="16"/>
  <c r="I23" i="16"/>
  <c r="G159" i="16"/>
  <c r="G239" i="16" s="1"/>
  <c r="G167" i="16"/>
  <c r="G247" i="16" s="1"/>
  <c r="F139" i="16"/>
  <c r="F219" i="16" s="1"/>
  <c r="J170" i="16"/>
  <c r="G170" i="16" s="1"/>
  <c r="G250" i="16" s="1"/>
  <c r="H135" i="16"/>
  <c r="H215" i="16" s="1"/>
  <c r="H138" i="16"/>
  <c r="H218" i="16" s="1"/>
  <c r="H162" i="16"/>
  <c r="H242" i="16" s="1"/>
  <c r="H167" i="16"/>
  <c r="H247" i="16" s="1"/>
  <c r="H174" i="16"/>
  <c r="H254" i="16" s="1"/>
  <c r="H178" i="16"/>
  <c r="H258" i="16" s="1"/>
  <c r="H190" i="16"/>
  <c r="H270" i="16" s="1"/>
  <c r="F163" i="16"/>
  <c r="F243" i="16" s="1"/>
  <c r="J184" i="16"/>
  <c r="I184" i="16" s="1"/>
  <c r="I264" i="16" s="1"/>
  <c r="G124" i="16"/>
  <c r="G204" i="16" s="1"/>
  <c r="G233" i="16"/>
  <c r="G178" i="16"/>
  <c r="G258" i="16" s="1"/>
  <c r="J53" i="18"/>
  <c r="I134" i="18" s="1"/>
  <c r="J191" i="16"/>
  <c r="G191" i="16" s="1"/>
  <c r="G271" i="16" s="1"/>
  <c r="J121" i="16"/>
  <c r="G121" i="16" s="1"/>
  <c r="G201" i="16" s="1"/>
  <c r="I174" i="16"/>
  <c r="I254" i="16" s="1"/>
  <c r="H179" i="16"/>
  <c r="H259" i="16" s="1"/>
  <c r="H180" i="16"/>
  <c r="H260" i="16" s="1"/>
  <c r="G152" i="16"/>
  <c r="G232" i="16" s="1"/>
  <c r="G151" i="16"/>
  <c r="G231" i="16" s="1"/>
  <c r="G163" i="16"/>
  <c r="G243" i="16" s="1"/>
  <c r="G173" i="16"/>
  <c r="G253" i="16" s="1"/>
  <c r="J54" i="18"/>
  <c r="G135" i="18" s="1"/>
  <c r="J148" i="16"/>
  <c r="G148" i="16" s="1"/>
  <c r="G228" i="16" s="1"/>
  <c r="H159" i="16"/>
  <c r="H239" i="16" s="1"/>
  <c r="H173" i="16"/>
  <c r="H253" i="16" s="1"/>
  <c r="J147" i="16"/>
  <c r="I147" i="16" s="1"/>
  <c r="I227" i="16" s="1"/>
  <c r="J42" i="18"/>
  <c r="H123" i="18" s="1"/>
  <c r="G126" i="18"/>
  <c r="G190" i="16"/>
  <c r="G270" i="16" s="1"/>
  <c r="J186" i="16"/>
  <c r="F186" i="16" s="1"/>
  <c r="F266" i="16" s="1"/>
  <c r="J169" i="16"/>
  <c r="H169" i="16" s="1"/>
  <c r="H249" i="16" s="1"/>
  <c r="I138" i="16"/>
  <c r="I218" i="16" s="1"/>
  <c r="I159" i="16"/>
  <c r="I239" i="16" s="1"/>
  <c r="I162" i="16"/>
  <c r="I242" i="16" s="1"/>
  <c r="I167" i="16"/>
  <c r="I247" i="16" s="1"/>
  <c r="I171" i="16"/>
  <c r="I251" i="16" s="1"/>
  <c r="I172" i="16"/>
  <c r="I252" i="16" s="1"/>
  <c r="I173" i="16"/>
  <c r="I253" i="16" s="1"/>
  <c r="I178" i="16"/>
  <c r="I258" i="16" s="1"/>
  <c r="I188" i="16"/>
  <c r="I268" i="16" s="1"/>
  <c r="J128" i="16"/>
  <c r="I128" i="16" s="1"/>
  <c r="I208" i="16" s="1"/>
  <c r="J137" i="16"/>
  <c r="I137" i="16" s="1"/>
  <c r="I217" i="16" s="1"/>
  <c r="J175" i="16"/>
  <c r="I175" i="16" s="1"/>
  <c r="I255" i="16" s="1"/>
  <c r="H165" i="16"/>
  <c r="H245" i="16" s="1"/>
  <c r="F180" i="16"/>
  <c r="F260" i="16" s="1"/>
  <c r="G172" i="16"/>
  <c r="G252" i="16" s="1"/>
  <c r="J41" i="18"/>
  <c r="H122" i="18" s="1"/>
  <c r="I22" i="16"/>
  <c r="J192" i="16"/>
  <c r="I192" i="16" s="1"/>
  <c r="I272" i="16" s="1"/>
  <c r="J185" i="16"/>
  <c r="G185" i="16" s="1"/>
  <c r="G265" i="16" s="1"/>
  <c r="J40" i="18"/>
  <c r="F121" i="18" s="1"/>
  <c r="F138" i="16"/>
  <c r="F218" i="16" s="1"/>
  <c r="F159" i="16"/>
  <c r="F239" i="16" s="1"/>
  <c r="F162" i="16"/>
  <c r="F242" i="16" s="1"/>
  <c r="F165" i="16"/>
  <c r="F245" i="16" s="1"/>
  <c r="F167" i="16"/>
  <c r="F247" i="16" s="1"/>
  <c r="F173" i="16"/>
  <c r="F253" i="16" s="1"/>
  <c r="F188" i="16"/>
  <c r="F268" i="16" s="1"/>
  <c r="G139" i="16"/>
  <c r="G219" i="16" s="1"/>
  <c r="J125" i="16"/>
  <c r="H125" i="16" s="1"/>
  <c r="H205" i="16" s="1"/>
  <c r="J119" i="16"/>
  <c r="I119" i="16" s="1"/>
  <c r="I199" i="16" s="1"/>
  <c r="F179" i="16"/>
  <c r="F259" i="16" s="1"/>
  <c r="J189" i="16"/>
  <c r="H189" i="16" s="1"/>
  <c r="H269" i="16" s="1"/>
  <c r="J127" i="16"/>
  <c r="G127" i="16" s="1"/>
  <c r="G207" i="16" s="1"/>
  <c r="I179" i="16"/>
  <c r="I259" i="16" s="1"/>
  <c r="J81" i="18"/>
  <c r="H162" i="18" s="1"/>
  <c r="I30" i="16"/>
  <c r="I26" i="16"/>
  <c r="J140" i="16"/>
  <c r="G140" i="16" s="1"/>
  <c r="G220" i="16" s="1"/>
  <c r="J136" i="16"/>
  <c r="G136" i="16" s="1"/>
  <c r="G216" i="16" s="1"/>
  <c r="J57" i="18"/>
  <c r="J44" i="18"/>
  <c r="I125" i="18" s="1"/>
  <c r="J56" i="18"/>
  <c r="I137" i="18" s="1"/>
  <c r="J29" i="18"/>
  <c r="H110" i="18" s="1"/>
  <c r="J30" i="18"/>
  <c r="F111" i="18" s="1"/>
  <c r="H182" i="16"/>
  <c r="H262" i="16" s="1"/>
  <c r="F124" i="16"/>
  <c r="F204" i="16" s="1"/>
  <c r="F151" i="16"/>
  <c r="F231" i="16" s="1"/>
  <c r="F152" i="16"/>
  <c r="F232" i="16" s="1"/>
  <c r="F166" i="16"/>
  <c r="F246" i="16" s="1"/>
  <c r="I182" i="16"/>
  <c r="I262" i="16" s="1"/>
  <c r="I190" i="16"/>
  <c r="I270" i="16" s="1"/>
  <c r="F118" i="16"/>
  <c r="F198" i="16" s="1"/>
  <c r="J64" i="18"/>
  <c r="H145" i="18" s="1"/>
  <c r="J65" i="18"/>
  <c r="G146" i="18" s="1"/>
  <c r="J22" i="18"/>
  <c r="I103" i="18" s="1"/>
  <c r="J31" i="18"/>
  <c r="F112" i="18" s="1"/>
  <c r="J23" i="18"/>
  <c r="F104" i="18" s="1"/>
  <c r="I29" i="16"/>
  <c r="I25" i="16"/>
  <c r="H124" i="16"/>
  <c r="H204" i="16" s="1"/>
  <c r="H126" i="16"/>
  <c r="H206" i="16" s="1"/>
  <c r="H139" i="16"/>
  <c r="H219" i="16" s="1"/>
  <c r="H146" i="16"/>
  <c r="H226" i="16" s="1"/>
  <c r="H151" i="16"/>
  <c r="H231" i="16" s="1"/>
  <c r="H233" i="16"/>
  <c r="J24" i="18"/>
  <c r="G105" i="18" s="1"/>
  <c r="H118" i="16"/>
  <c r="H198" i="16" s="1"/>
  <c r="H152" i="16"/>
  <c r="H232" i="16" s="1"/>
  <c r="H161" i="16"/>
  <c r="H241" i="16" s="1"/>
  <c r="H163" i="16"/>
  <c r="H243" i="16" s="1"/>
  <c r="F172" i="16"/>
  <c r="F252" i="16" s="1"/>
  <c r="F174" i="16"/>
  <c r="F254" i="16" s="1"/>
  <c r="F182" i="16"/>
  <c r="F262" i="16" s="1"/>
  <c r="F183" i="16"/>
  <c r="F263" i="16" s="1"/>
  <c r="F190" i="16"/>
  <c r="F270" i="16" s="1"/>
  <c r="I118" i="16"/>
  <c r="I198" i="16" s="1"/>
  <c r="I126" i="16"/>
  <c r="I206" i="16" s="1"/>
  <c r="I135" i="16"/>
  <c r="I215" i="16" s="1"/>
  <c r="I139" i="16"/>
  <c r="I219" i="16" s="1"/>
  <c r="I146" i="16"/>
  <c r="I226" i="16" s="1"/>
  <c r="I149" i="16"/>
  <c r="I229" i="16" s="1"/>
  <c r="I151" i="16"/>
  <c r="I231" i="16" s="1"/>
  <c r="I152" i="16"/>
  <c r="I232" i="16" s="1"/>
  <c r="I233" i="16"/>
  <c r="I157" i="16"/>
  <c r="I237" i="16" s="1"/>
  <c r="I161" i="16"/>
  <c r="I241" i="16" s="1"/>
  <c r="I163" i="16"/>
  <c r="I243" i="16" s="1"/>
  <c r="I165" i="16"/>
  <c r="I245" i="16" s="1"/>
  <c r="I166" i="16"/>
  <c r="I246" i="16" s="1"/>
  <c r="G171" i="16"/>
  <c r="G251" i="16" s="1"/>
  <c r="G182" i="16"/>
  <c r="G262" i="16" s="1"/>
  <c r="G180" i="16"/>
  <c r="G260" i="16" s="1"/>
  <c r="G179" i="16"/>
  <c r="G259" i="16" s="1"/>
  <c r="H157" i="16"/>
  <c r="H237" i="16" s="1"/>
  <c r="I124" i="16"/>
  <c r="I204" i="16" s="1"/>
  <c r="F146" i="16"/>
  <c r="F226" i="16" s="1"/>
  <c r="I180" i="16"/>
  <c r="I260" i="16" s="1"/>
  <c r="F178" i="16"/>
  <c r="F258" i="16" s="1"/>
  <c r="E46" i="40"/>
  <c r="E17" i="39"/>
  <c r="F17" i="39" s="1"/>
  <c r="F71" i="40"/>
  <c r="E19" i="4"/>
  <c r="E18" i="66" s="1"/>
  <c r="E10" i="13"/>
  <c r="D59" i="12"/>
  <c r="F21" i="46"/>
  <c r="E20" i="4"/>
  <c r="F27" i="5"/>
  <c r="F53" i="5" s="1"/>
  <c r="H153" i="18"/>
  <c r="G153" i="18"/>
  <c r="F153" i="18"/>
  <c r="G256" i="16"/>
  <c r="H25" i="14"/>
  <c r="H37" i="71" s="1"/>
  <c r="H150" i="16"/>
  <c r="H230" i="16" s="1"/>
  <c r="F150" i="16"/>
  <c r="F230" i="16" s="1"/>
  <c r="I150" i="16"/>
  <c r="I230" i="16" s="1"/>
  <c r="G150" i="16"/>
  <c r="G230" i="16" s="1"/>
  <c r="H166" i="16"/>
  <c r="H246" i="16" s="1"/>
  <c r="G166" i="16"/>
  <c r="G246" i="16" s="1"/>
  <c r="J88" i="18"/>
  <c r="F169" i="18" s="1"/>
  <c r="J76" i="18"/>
  <c r="J85" i="18"/>
  <c r="J93" i="18"/>
  <c r="F174" i="18" s="1"/>
  <c r="J73" i="18"/>
  <c r="I154" i="18" s="1"/>
  <c r="J96" i="18"/>
  <c r="J74" i="18"/>
  <c r="I155" i="18" s="1"/>
  <c r="J87" i="18"/>
  <c r="J75" i="18"/>
  <c r="I156" i="18" s="1"/>
  <c r="J89" i="18"/>
  <c r="J168" i="16"/>
  <c r="I168" i="16" s="1"/>
  <c r="I248" i="16" s="1"/>
  <c r="J90" i="18"/>
  <c r="F171" i="18" s="1"/>
  <c r="J92" i="18"/>
  <c r="J80" i="18"/>
  <c r="F161" i="18" s="1"/>
  <c r="J83" i="18"/>
  <c r="H164" i="18" s="1"/>
  <c r="J95" i="18"/>
  <c r="J77" i="18"/>
  <c r="J78" i="18"/>
  <c r="J181" i="16"/>
  <c r="F181" i="16" s="1"/>
  <c r="F261" i="16" s="1"/>
  <c r="J94" i="18"/>
  <c r="E47" i="40"/>
  <c r="G157" i="16"/>
  <c r="G237" i="16" s="1"/>
  <c r="J79" i="18"/>
  <c r="J91" i="18"/>
  <c r="H160" i="16"/>
  <c r="H240" i="16" s="1"/>
  <c r="I153" i="18"/>
  <c r="J158" i="16"/>
  <c r="G158" i="16" s="1"/>
  <c r="G238" i="16" s="1"/>
  <c r="J62" i="18"/>
  <c r="J68" i="18"/>
  <c r="J66" i="18"/>
  <c r="J69" i="18"/>
  <c r="G160" i="16"/>
  <c r="G240" i="16" s="1"/>
  <c r="I160" i="16"/>
  <c r="I240" i="16" s="1"/>
  <c r="H183" i="16"/>
  <c r="H263" i="16" s="1"/>
  <c r="I183" i="16"/>
  <c r="I263" i="16" s="1"/>
  <c r="J82" i="18"/>
  <c r="H163" i="18" s="1"/>
  <c r="F176" i="16"/>
  <c r="F256" i="16" s="1"/>
  <c r="I176" i="16"/>
  <c r="I256" i="16" s="1"/>
  <c r="J86" i="18"/>
  <c r="F157" i="16"/>
  <c r="F237" i="16" s="1"/>
  <c r="H176" i="16"/>
  <c r="H256" i="16" s="1"/>
  <c r="G183" i="16"/>
  <c r="G263" i="16" s="1"/>
  <c r="F160" i="16"/>
  <c r="F240" i="16" s="1"/>
  <c r="F171" i="16"/>
  <c r="F251" i="16" s="1"/>
  <c r="H171" i="16"/>
  <c r="H251" i="16" s="1"/>
  <c r="J55" i="18"/>
  <c r="J63" i="18"/>
  <c r="J70" i="18"/>
  <c r="J67" i="18"/>
  <c r="E13" i="39"/>
  <c r="F13" i="39" s="1"/>
  <c r="J25" i="18"/>
  <c r="J43" i="18"/>
  <c r="E9" i="4"/>
  <c r="E42" i="40"/>
  <c r="M33" i="75" l="1"/>
  <c r="Q33" i="75"/>
  <c r="N33" i="75"/>
  <c r="P33" i="75"/>
  <c r="O33" i="75"/>
  <c r="E26" i="40"/>
  <c r="O26" i="75"/>
  <c r="N26" i="75"/>
  <c r="P26" i="75"/>
  <c r="M26" i="75"/>
  <c r="Q26" i="75"/>
  <c r="M27" i="75"/>
  <c r="Q27" i="75"/>
  <c r="N27" i="75"/>
  <c r="P27" i="75"/>
  <c r="O27" i="75"/>
  <c r="E23" i="40"/>
  <c r="N30" i="75"/>
  <c r="Q30" i="75"/>
  <c r="O30" i="75"/>
  <c r="P30" i="75"/>
  <c r="M30" i="75"/>
  <c r="H7" i="14"/>
  <c r="H19" i="71" s="1"/>
  <c r="H9" i="41"/>
  <c r="E33" i="40"/>
  <c r="F121" i="46"/>
  <c r="J30" i="75"/>
  <c r="C30" i="75"/>
  <c r="F30" i="75"/>
  <c r="G30" i="75"/>
  <c r="I30" i="75"/>
  <c r="D30" i="75"/>
  <c r="H30" i="75"/>
  <c r="L30" i="75"/>
  <c r="E30" i="75"/>
  <c r="K30" i="75"/>
  <c r="E33" i="75"/>
  <c r="I33" i="75"/>
  <c r="D33" i="75"/>
  <c r="H33" i="75"/>
  <c r="L33" i="75"/>
  <c r="K33" i="75"/>
  <c r="F33" i="75"/>
  <c r="J33" i="75"/>
  <c r="G33" i="75"/>
  <c r="C33" i="75"/>
  <c r="C26" i="75"/>
  <c r="K26" i="75"/>
  <c r="E26" i="75"/>
  <c r="I26" i="75"/>
  <c r="F26" i="75"/>
  <c r="J26" i="75"/>
  <c r="D26" i="75"/>
  <c r="H26" i="75"/>
  <c r="L26" i="75"/>
  <c r="G26" i="75"/>
  <c r="G27" i="75"/>
  <c r="E27" i="75"/>
  <c r="J27" i="75"/>
  <c r="D27" i="75"/>
  <c r="C27" i="75"/>
  <c r="K27" i="75"/>
  <c r="F27" i="75"/>
  <c r="I27" i="75"/>
  <c r="H27" i="75"/>
  <c r="L27" i="75"/>
  <c r="C31" i="40"/>
  <c r="E31" i="40" s="1"/>
  <c r="H20" i="71"/>
  <c r="C14" i="40"/>
  <c r="H12" i="71"/>
  <c r="H28" i="71"/>
  <c r="H15" i="14"/>
  <c r="C39" i="40" s="1"/>
  <c r="H11" i="71"/>
  <c r="Q22" i="78"/>
  <c r="P23" i="78"/>
  <c r="O5" i="76" s="1"/>
  <c r="Q403" i="72"/>
  <c r="Q428" i="72" s="1"/>
  <c r="Q453" i="72" s="1"/>
  <c r="Q478" i="72" s="1"/>
  <c r="Q503" i="72" s="1"/>
  <c r="Q528" i="72" s="1"/>
  <c r="Q553" i="72" s="1"/>
  <c r="Q578" i="72" s="1"/>
  <c r="Q603" i="72" s="1"/>
  <c r="Q628" i="72" s="1"/>
  <c r="O378" i="72"/>
  <c r="O379" i="72" s="1"/>
  <c r="R10" i="78" s="1"/>
  <c r="C10" i="78" s="1"/>
  <c r="P378" i="72"/>
  <c r="P379" i="72" s="1"/>
  <c r="F114" i="18"/>
  <c r="G114" i="18"/>
  <c r="I114" i="18"/>
  <c r="H114" i="18"/>
  <c r="F116" i="18"/>
  <c r="G116" i="18"/>
  <c r="H116" i="18"/>
  <c r="I116" i="18"/>
  <c r="G118" i="18"/>
  <c r="H118" i="18"/>
  <c r="F118" i="18"/>
  <c r="I118" i="18"/>
  <c r="I113" i="18"/>
  <c r="G113" i="18"/>
  <c r="F113" i="18"/>
  <c r="H113" i="18"/>
  <c r="G115" i="18"/>
  <c r="H115" i="18"/>
  <c r="I115" i="18"/>
  <c r="F115" i="18"/>
  <c r="F117" i="18"/>
  <c r="H117" i="18"/>
  <c r="G117" i="18"/>
  <c r="I117" i="18"/>
  <c r="D22" i="30"/>
  <c r="H14" i="14" s="1"/>
  <c r="C38" i="40" s="1"/>
  <c r="H149" i="16"/>
  <c r="H229" i="16" s="1"/>
  <c r="I187" i="16"/>
  <c r="I267" i="16" s="1"/>
  <c r="F187" i="16"/>
  <c r="F267" i="16" s="1"/>
  <c r="F149" i="16"/>
  <c r="F229" i="16" s="1"/>
  <c r="G107" i="18"/>
  <c r="H142" i="18"/>
  <c r="G187" i="16"/>
  <c r="G267" i="16" s="1"/>
  <c r="G131" i="18"/>
  <c r="F131" i="18"/>
  <c r="I131" i="18"/>
  <c r="F125" i="16"/>
  <c r="F205" i="16" s="1"/>
  <c r="H193" i="16"/>
  <c r="H273" i="16" s="1"/>
  <c r="F142" i="16"/>
  <c r="F222" i="16" s="1"/>
  <c r="I142" i="16"/>
  <c r="I222" i="16" s="1"/>
  <c r="I127" i="18"/>
  <c r="H142" i="16"/>
  <c r="H222" i="16" s="1"/>
  <c r="I193" i="16"/>
  <c r="I273" i="16" s="1"/>
  <c r="G193" i="16"/>
  <c r="G273" i="16" s="1"/>
  <c r="F127" i="18"/>
  <c r="H127" i="18"/>
  <c r="F128" i="18"/>
  <c r="I128" i="18"/>
  <c r="H128" i="18"/>
  <c r="G128" i="18"/>
  <c r="F155" i="18"/>
  <c r="I129" i="18"/>
  <c r="H129" i="18"/>
  <c r="G129" i="18"/>
  <c r="F129" i="18"/>
  <c r="G140" i="18"/>
  <c r="F140" i="18"/>
  <c r="I140" i="18"/>
  <c r="H140" i="18"/>
  <c r="I138" i="18"/>
  <c r="H138" i="18"/>
  <c r="G138" i="18"/>
  <c r="F138" i="18"/>
  <c r="H139" i="18"/>
  <c r="G139" i="18"/>
  <c r="F139" i="18"/>
  <c r="I139" i="18"/>
  <c r="F23" i="46"/>
  <c r="E19" i="66"/>
  <c r="C13" i="40"/>
  <c r="H146" i="18"/>
  <c r="G133" i="18"/>
  <c r="F132" i="18"/>
  <c r="H133" i="18"/>
  <c r="I107" i="18"/>
  <c r="F142" i="18"/>
  <c r="F170" i="16"/>
  <c r="F250" i="16" s="1"/>
  <c r="H123" i="16"/>
  <c r="H203" i="16" s="1"/>
  <c r="G169" i="16"/>
  <c r="G249" i="16" s="1"/>
  <c r="I154" i="16"/>
  <c r="I234" i="16" s="1"/>
  <c r="F154" i="16"/>
  <c r="F234" i="16" s="1"/>
  <c r="G154" i="16"/>
  <c r="G234" i="16" s="1"/>
  <c r="H154" i="16"/>
  <c r="H234" i="16" s="1"/>
  <c r="H107" i="18"/>
  <c r="G123" i="16"/>
  <c r="G203" i="16" s="1"/>
  <c r="F144" i="16"/>
  <c r="F224" i="16" s="1"/>
  <c r="I144" i="16"/>
  <c r="G144" i="16"/>
  <c r="H144" i="16"/>
  <c r="F133" i="18"/>
  <c r="H170" i="16"/>
  <c r="H250" i="16" s="1"/>
  <c r="H155" i="16"/>
  <c r="G155" i="16"/>
  <c r="F155" i="16"/>
  <c r="F235" i="16" s="1"/>
  <c r="I155" i="16"/>
  <c r="G156" i="16"/>
  <c r="I156" i="16"/>
  <c r="H156" i="16"/>
  <c r="F156" i="16"/>
  <c r="F236" i="16" s="1"/>
  <c r="H129" i="16"/>
  <c r="H209" i="16" s="1"/>
  <c r="I129" i="16"/>
  <c r="I209" i="16" s="1"/>
  <c r="F145" i="16"/>
  <c r="F225" i="16" s="1"/>
  <c r="I145" i="16"/>
  <c r="G145" i="16"/>
  <c r="H145" i="16"/>
  <c r="F162" i="18"/>
  <c r="I132" i="18"/>
  <c r="I135" i="18"/>
  <c r="G121" i="18"/>
  <c r="G132" i="18"/>
  <c r="I122" i="16"/>
  <c r="I202" i="16" s="1"/>
  <c r="I120" i="18"/>
  <c r="F129" i="16"/>
  <c r="F209" i="16" s="1"/>
  <c r="F223" i="16"/>
  <c r="H143" i="16"/>
  <c r="I143" i="16"/>
  <c r="I223" i="16" s="1"/>
  <c r="G143" i="16"/>
  <c r="G223" i="16" s="1"/>
  <c r="F169" i="16"/>
  <c r="F249" i="16" s="1"/>
  <c r="I120" i="16"/>
  <c r="I200" i="16" s="1"/>
  <c r="G175" i="16"/>
  <c r="G255" i="16" s="1"/>
  <c r="I123" i="16"/>
  <c r="I203" i="16" s="1"/>
  <c r="H121" i="16"/>
  <c r="H201" i="16" s="1"/>
  <c r="F120" i="16"/>
  <c r="F200" i="16" s="1"/>
  <c r="G120" i="16"/>
  <c r="G200" i="16" s="1"/>
  <c r="I169" i="16"/>
  <c r="I249" i="16" s="1"/>
  <c r="F121" i="16"/>
  <c r="F201" i="16" s="1"/>
  <c r="H120" i="18"/>
  <c r="I142" i="18"/>
  <c r="H105" i="18"/>
  <c r="I145" i="18"/>
  <c r="H184" i="16"/>
  <c r="H264" i="16" s="1"/>
  <c r="G192" i="16"/>
  <c r="G272" i="16" s="1"/>
  <c r="I121" i="16"/>
  <c r="I201" i="16" s="1"/>
  <c r="G120" i="18"/>
  <c r="G145" i="18"/>
  <c r="I141" i="16"/>
  <c r="I221" i="16" s="1"/>
  <c r="G189" i="16"/>
  <c r="G269" i="16" s="1"/>
  <c r="H136" i="16"/>
  <c r="H216" i="16" s="1"/>
  <c r="H141" i="16"/>
  <c r="H221" i="16" s="1"/>
  <c r="I136" i="16"/>
  <c r="I216" i="16" s="1"/>
  <c r="F141" i="16"/>
  <c r="F221" i="16" s="1"/>
  <c r="I191" i="16"/>
  <c r="I271" i="16" s="1"/>
  <c r="H109" i="18"/>
  <c r="F177" i="16"/>
  <c r="F257" i="16" s="1"/>
  <c r="F184" i="16"/>
  <c r="F264" i="16" s="1"/>
  <c r="H177" i="16"/>
  <c r="H257" i="16" s="1"/>
  <c r="G184" i="16"/>
  <c r="G264" i="16" s="1"/>
  <c r="I177" i="16"/>
  <c r="I257" i="16" s="1"/>
  <c r="H168" i="16"/>
  <c r="H248" i="16" s="1"/>
  <c r="F154" i="18"/>
  <c r="I148" i="16"/>
  <c r="I228" i="16" s="1"/>
  <c r="I170" i="16"/>
  <c r="I250" i="16" s="1"/>
  <c r="H191" i="16"/>
  <c r="H271" i="16" s="1"/>
  <c r="F122" i="16"/>
  <c r="F202" i="16" s="1"/>
  <c r="F148" i="16"/>
  <c r="F228" i="16" s="1"/>
  <c r="H148" i="16"/>
  <c r="H228" i="16" s="1"/>
  <c r="G122" i="16"/>
  <c r="G202" i="16" s="1"/>
  <c r="H192" i="16"/>
  <c r="H272" i="16" s="1"/>
  <c r="F191" i="16"/>
  <c r="F271" i="16" s="1"/>
  <c r="H223" i="16"/>
  <c r="H127" i="16"/>
  <c r="H207" i="16" s="1"/>
  <c r="G128" i="16"/>
  <c r="G208" i="16" s="1"/>
  <c r="G186" i="16"/>
  <c r="G266" i="16" s="1"/>
  <c r="I186" i="16"/>
  <c r="I266" i="16" s="1"/>
  <c r="H135" i="18"/>
  <c r="F126" i="18"/>
  <c r="H121" i="18"/>
  <c r="G110" i="18"/>
  <c r="I127" i="16"/>
  <c r="I207" i="16" s="1"/>
  <c r="I121" i="18"/>
  <c r="I126" i="18"/>
  <c r="H186" i="16"/>
  <c r="H266" i="16" s="1"/>
  <c r="F135" i="18"/>
  <c r="F137" i="16"/>
  <c r="F217" i="16" s="1"/>
  <c r="F185" i="16"/>
  <c r="F265" i="16" s="1"/>
  <c r="F146" i="18"/>
  <c r="I122" i="18"/>
  <c r="G134" i="18"/>
  <c r="F134" i="18"/>
  <c r="G147" i="16"/>
  <c r="G227" i="16" s="1"/>
  <c r="F105" i="18"/>
  <c r="F87" i="46"/>
  <c r="F147" i="16"/>
  <c r="F227" i="16" s="1"/>
  <c r="G137" i="18"/>
  <c r="I125" i="16"/>
  <c r="I205" i="16" s="1"/>
  <c r="I112" i="18"/>
  <c r="F127" i="16"/>
  <c r="F207" i="16" s="1"/>
  <c r="H128" i="16"/>
  <c r="H208" i="16" s="1"/>
  <c r="F123" i="18"/>
  <c r="F128" i="16"/>
  <c r="F208" i="16" s="1"/>
  <c r="F145" i="18"/>
  <c r="H111" i="18"/>
  <c r="F110" i="18"/>
  <c r="I105" i="18"/>
  <c r="H185" i="16"/>
  <c r="H265" i="16" s="1"/>
  <c r="H147" i="16"/>
  <c r="H227" i="16" s="1"/>
  <c r="I123" i="18"/>
  <c r="I110" i="18"/>
  <c r="I185" i="16"/>
  <c r="I265" i="16" s="1"/>
  <c r="G123" i="18"/>
  <c r="H134" i="18"/>
  <c r="H137" i="16"/>
  <c r="H217" i="16" s="1"/>
  <c r="G137" i="16"/>
  <c r="G217" i="16" s="1"/>
  <c r="G125" i="16"/>
  <c r="G205" i="16" s="1"/>
  <c r="F192" i="16"/>
  <c r="F272" i="16" s="1"/>
  <c r="F175" i="16"/>
  <c r="F255" i="16" s="1"/>
  <c r="H175" i="16"/>
  <c r="H255" i="16" s="1"/>
  <c r="I111" i="18"/>
  <c r="F136" i="16"/>
  <c r="F216" i="16" s="1"/>
  <c r="G122" i="18"/>
  <c r="F122" i="18"/>
  <c r="F125" i="18"/>
  <c r="G125" i="18"/>
  <c r="H125" i="18"/>
  <c r="G109" i="18"/>
  <c r="G119" i="16"/>
  <c r="G199" i="16" s="1"/>
  <c r="G111" i="18"/>
  <c r="I109" i="18"/>
  <c r="G162" i="18"/>
  <c r="I140" i="16"/>
  <c r="I220" i="16" s="1"/>
  <c r="F189" i="16"/>
  <c r="F269" i="16" s="1"/>
  <c r="G112" i="18"/>
  <c r="H112" i="18"/>
  <c r="I189" i="16"/>
  <c r="I269" i="16" s="1"/>
  <c r="F140" i="16"/>
  <c r="F220" i="16" s="1"/>
  <c r="F119" i="16"/>
  <c r="F199" i="16" s="1"/>
  <c r="G104" i="18"/>
  <c r="I104" i="18"/>
  <c r="I146" i="18"/>
  <c r="H104" i="18"/>
  <c r="I162" i="18"/>
  <c r="H140" i="16"/>
  <c r="H220" i="16" s="1"/>
  <c r="H119" i="16"/>
  <c r="H199" i="16" s="1"/>
  <c r="H103" i="18"/>
  <c r="F103" i="18"/>
  <c r="G103" i="18"/>
  <c r="H137" i="18"/>
  <c r="F137" i="18"/>
  <c r="F86" i="46"/>
  <c r="H27" i="14"/>
  <c r="F72" i="40"/>
  <c r="E27" i="4"/>
  <c r="F30" i="46" s="1"/>
  <c r="F22" i="46"/>
  <c r="F61" i="46"/>
  <c r="H17" i="14"/>
  <c r="C41" i="40" s="1"/>
  <c r="G124" i="18"/>
  <c r="H124" i="18"/>
  <c r="F124" i="18"/>
  <c r="I172" i="18"/>
  <c r="H172" i="18"/>
  <c r="G172" i="18"/>
  <c r="H159" i="18"/>
  <c r="G159" i="18"/>
  <c r="I159" i="18"/>
  <c r="F159" i="18"/>
  <c r="H170" i="18"/>
  <c r="F170" i="18"/>
  <c r="I170" i="18"/>
  <c r="G170" i="18"/>
  <c r="G157" i="18"/>
  <c r="H157" i="18"/>
  <c r="I157" i="18"/>
  <c r="H144" i="18"/>
  <c r="G144" i="18"/>
  <c r="I144" i="18"/>
  <c r="F144" i="18"/>
  <c r="F136" i="18"/>
  <c r="H136" i="18"/>
  <c r="G136" i="18"/>
  <c r="H158" i="18"/>
  <c r="F158" i="18"/>
  <c r="G158" i="18"/>
  <c r="G156" i="18"/>
  <c r="H156" i="18"/>
  <c r="F156" i="18"/>
  <c r="I169" i="18"/>
  <c r="H169" i="18"/>
  <c r="G169" i="18"/>
  <c r="F172" i="18"/>
  <c r="I167" i="18"/>
  <c r="F167" i="18"/>
  <c r="G167" i="18"/>
  <c r="H167" i="18"/>
  <c r="H143" i="18"/>
  <c r="F143" i="18"/>
  <c r="G143" i="18"/>
  <c r="I143" i="18"/>
  <c r="H175" i="18"/>
  <c r="F175" i="18"/>
  <c r="I175" i="18"/>
  <c r="G175" i="18"/>
  <c r="G176" i="18"/>
  <c r="I176" i="18"/>
  <c r="F176" i="18"/>
  <c r="G171" i="18"/>
  <c r="H171" i="18"/>
  <c r="I171" i="18"/>
  <c r="I168" i="18"/>
  <c r="G168" i="18"/>
  <c r="H168" i="18"/>
  <c r="F168" i="18"/>
  <c r="I174" i="18"/>
  <c r="G174" i="18"/>
  <c r="H174" i="18"/>
  <c r="I151" i="18"/>
  <c r="F151" i="18"/>
  <c r="G151" i="18"/>
  <c r="H151" i="18"/>
  <c r="G163" i="18"/>
  <c r="F163" i="18"/>
  <c r="I163" i="18"/>
  <c r="H147" i="18"/>
  <c r="G147" i="18"/>
  <c r="F147" i="18"/>
  <c r="I147" i="18"/>
  <c r="G161" i="18"/>
  <c r="I161" i="18"/>
  <c r="H161" i="18"/>
  <c r="G177" i="18"/>
  <c r="I177" i="18"/>
  <c r="F177" i="18"/>
  <c r="H177" i="18"/>
  <c r="F106" i="18"/>
  <c r="I106" i="18"/>
  <c r="H106" i="18"/>
  <c r="G106" i="18"/>
  <c r="F149" i="18"/>
  <c r="H149" i="18"/>
  <c r="I149" i="18"/>
  <c r="G149" i="18"/>
  <c r="I136" i="18"/>
  <c r="I160" i="18"/>
  <c r="H160" i="18"/>
  <c r="G160" i="18"/>
  <c r="F160" i="18"/>
  <c r="F173" i="18"/>
  <c r="G173" i="18"/>
  <c r="I173" i="18"/>
  <c r="H173" i="18"/>
  <c r="H154" i="18"/>
  <c r="G154" i="18"/>
  <c r="F148" i="18"/>
  <c r="G148" i="18"/>
  <c r="H148" i="18"/>
  <c r="I148" i="18"/>
  <c r="I124" i="18"/>
  <c r="F157" i="18"/>
  <c r="I150" i="18"/>
  <c r="G150" i="18"/>
  <c r="H150" i="18"/>
  <c r="F150" i="18"/>
  <c r="F158" i="16"/>
  <c r="F238" i="16" s="1"/>
  <c r="I158" i="16"/>
  <c r="I238" i="16" s="1"/>
  <c r="H158" i="16"/>
  <c r="H238" i="16" s="1"/>
  <c r="I158" i="18"/>
  <c r="H181" i="16"/>
  <c r="H261" i="16" s="1"/>
  <c r="G181" i="16"/>
  <c r="G261" i="16" s="1"/>
  <c r="I181" i="16"/>
  <c r="I261" i="16" s="1"/>
  <c r="G164" i="18"/>
  <c r="I164" i="18"/>
  <c r="F164" i="18"/>
  <c r="G168" i="16"/>
  <c r="G248" i="16" s="1"/>
  <c r="F168" i="16"/>
  <c r="F248" i="16" s="1"/>
  <c r="H155" i="18"/>
  <c r="G155" i="18"/>
  <c r="F166" i="18"/>
  <c r="H166" i="18"/>
  <c r="I166" i="18"/>
  <c r="G166" i="18"/>
  <c r="H176" i="18"/>
  <c r="C22" i="40"/>
  <c r="F12" i="46"/>
  <c r="R16" i="78" l="1"/>
  <c r="C16" i="78" s="1"/>
  <c r="Q23" i="78"/>
  <c r="P5" i="76" s="1"/>
  <c r="M29" i="75"/>
  <c r="Q29" i="75"/>
  <c r="N29" i="75"/>
  <c r="P29" i="75"/>
  <c r="O29" i="75"/>
  <c r="C30" i="40"/>
  <c r="E30" i="40" s="1"/>
  <c r="O20" i="75"/>
  <c r="Q20" i="75"/>
  <c r="M20" i="75"/>
  <c r="P20" i="75"/>
  <c r="N20" i="75"/>
  <c r="I29" i="75"/>
  <c r="E29" i="75"/>
  <c r="F29" i="75"/>
  <c r="J29" i="75"/>
  <c r="K29" i="75"/>
  <c r="H29" i="75"/>
  <c r="C29" i="75"/>
  <c r="G29" i="75"/>
  <c r="D29" i="75"/>
  <c r="L29" i="75"/>
  <c r="E14" i="40"/>
  <c r="I20" i="75"/>
  <c r="G20" i="75"/>
  <c r="K20" i="75"/>
  <c r="L20" i="75"/>
  <c r="E20" i="75"/>
  <c r="H20" i="75"/>
  <c r="J20" i="75"/>
  <c r="C20" i="75"/>
  <c r="D20" i="75"/>
  <c r="F20" i="75"/>
  <c r="E40" i="40"/>
  <c r="H26" i="71"/>
  <c r="H27" i="71"/>
  <c r="C25" i="40"/>
  <c r="H39" i="71"/>
  <c r="E41" i="40"/>
  <c r="H29" i="71"/>
  <c r="F82" i="5"/>
  <c r="F116" i="46" s="1"/>
  <c r="E38" i="40"/>
  <c r="F188" i="18"/>
  <c r="F210" i="18"/>
  <c r="F199" i="18"/>
  <c r="I188" i="18"/>
  <c r="H188" i="18"/>
  <c r="G188" i="18"/>
  <c r="E13" i="40"/>
  <c r="I210" i="18"/>
  <c r="G210" i="18"/>
  <c r="G199" i="18"/>
  <c r="H210" i="18"/>
  <c r="I199" i="18"/>
  <c r="H199" i="18"/>
  <c r="G277" i="16"/>
  <c r="H6" i="14" s="1"/>
  <c r="H18" i="71" s="1"/>
  <c r="H17" i="71" s="1"/>
  <c r="H28" i="14"/>
  <c r="H182" i="18"/>
  <c r="I182" i="18"/>
  <c r="F182" i="18"/>
  <c r="G182" i="18"/>
  <c r="H232" i="18"/>
  <c r="I245" i="18"/>
  <c r="G232" i="18"/>
  <c r="F232" i="18"/>
  <c r="I232" i="18"/>
  <c r="F75" i="46"/>
  <c r="F79" i="46"/>
  <c r="F221" i="18"/>
  <c r="H221" i="18"/>
  <c r="F245" i="18"/>
  <c r="I221" i="18"/>
  <c r="E22" i="40"/>
  <c r="H245" i="18"/>
  <c r="G245" i="18"/>
  <c r="G221" i="18"/>
  <c r="R22" i="78" l="1"/>
  <c r="B23" i="73"/>
  <c r="C33" i="78"/>
  <c r="C39" i="78" s="1"/>
  <c r="P32" i="75"/>
  <c r="M32" i="75"/>
  <c r="N32" i="75"/>
  <c r="Q32" i="75"/>
  <c r="O32" i="75"/>
  <c r="E25" i="40"/>
  <c r="F32" i="75"/>
  <c r="K32" i="75"/>
  <c r="I32" i="75"/>
  <c r="E32" i="75"/>
  <c r="G32" i="75"/>
  <c r="H32" i="75"/>
  <c r="L32" i="75"/>
  <c r="C32" i="75"/>
  <c r="J32" i="75"/>
  <c r="D32" i="75"/>
  <c r="C24" i="40"/>
  <c r="H40" i="71"/>
  <c r="H36" i="71" s="1"/>
  <c r="E39" i="40"/>
  <c r="H24" i="14"/>
  <c r="H32" i="14"/>
  <c r="G260" i="18"/>
  <c r="H13" i="14" s="1"/>
  <c r="C37" i="40" s="1"/>
  <c r="C29" i="40"/>
  <c r="H5" i="14"/>
  <c r="R23" i="78" l="1"/>
  <c r="Q5" i="76" s="1"/>
  <c r="E24" i="40"/>
  <c r="M31" i="75"/>
  <c r="M34" i="75" s="1"/>
  <c r="Q31" i="75"/>
  <c r="Q34" i="75" s="1"/>
  <c r="N31" i="75"/>
  <c r="N34" i="75" s="1"/>
  <c r="O31" i="75"/>
  <c r="O34" i="75" s="1"/>
  <c r="P31" i="75"/>
  <c r="P34" i="75" s="1"/>
  <c r="E27" i="40"/>
  <c r="C27" i="40"/>
  <c r="C31" i="75"/>
  <c r="C34" i="75" s="1"/>
  <c r="G31" i="75"/>
  <c r="G34" i="75" s="1"/>
  <c r="K31" i="75"/>
  <c r="K34" i="75" s="1"/>
  <c r="F31" i="75"/>
  <c r="F34" i="75" s="1"/>
  <c r="J31" i="75"/>
  <c r="J34" i="75" s="1"/>
  <c r="I31" i="75"/>
  <c r="I34" i="75" s="1"/>
  <c r="D31" i="75"/>
  <c r="D34" i="75" s="1"/>
  <c r="H31" i="75"/>
  <c r="H34" i="75" s="1"/>
  <c r="L31" i="75"/>
  <c r="L34" i="75" s="1"/>
  <c r="E31" i="75"/>
  <c r="E34" i="75" s="1"/>
  <c r="H12" i="14"/>
  <c r="H25" i="71"/>
  <c r="H24" i="71" s="1"/>
  <c r="C45" i="40"/>
  <c r="H44" i="71"/>
  <c r="C35" i="40"/>
  <c r="E29" i="40"/>
  <c r="E35" i="40" s="1"/>
  <c r="M25" i="75" l="1"/>
  <c r="M28" i="75" s="1"/>
  <c r="P25" i="75"/>
  <c r="P28" i="75" s="1"/>
  <c r="Q25" i="75"/>
  <c r="Q28" i="75" s="1"/>
  <c r="O25" i="75"/>
  <c r="O28" i="75" s="1"/>
  <c r="N25" i="75"/>
  <c r="N28" i="75" s="1"/>
  <c r="E45" i="40"/>
  <c r="E48" i="40" s="1"/>
  <c r="K25" i="75"/>
  <c r="K28" i="75" s="1"/>
  <c r="E25" i="75"/>
  <c r="E28" i="75" s="1"/>
  <c r="I25" i="75"/>
  <c r="I28" i="75" s="1"/>
  <c r="F25" i="75"/>
  <c r="F28" i="75" s="1"/>
  <c r="J25" i="75"/>
  <c r="J28" i="75" s="1"/>
  <c r="C25" i="75"/>
  <c r="C28" i="75" s="1"/>
  <c r="D25" i="75"/>
  <c r="D28" i="75" s="1"/>
  <c r="H25" i="75"/>
  <c r="H28" i="75" s="1"/>
  <c r="L25" i="75"/>
  <c r="L28" i="75" s="1"/>
  <c r="G25" i="75"/>
  <c r="G28" i="75" s="1"/>
  <c r="C48" i="40"/>
  <c r="A34" i="75"/>
  <c r="C43" i="40"/>
  <c r="E37" i="40"/>
  <c r="E43" i="40" s="1"/>
  <c r="A28" i="75" l="1"/>
  <c r="D17" i="41" l="1"/>
  <c r="F17" i="41" s="1"/>
  <c r="D16" i="41"/>
  <c r="F16" i="41" s="1"/>
  <c r="D3" i="41"/>
  <c r="H3" i="41" s="1"/>
  <c r="D4" i="41"/>
  <c r="F4" i="41" s="1"/>
  <c r="D6" i="41"/>
  <c r="H6" i="41" s="1"/>
  <c r="D7" i="41"/>
  <c r="F7" i="41" s="1"/>
  <c r="D19" i="41"/>
  <c r="H19" i="41" s="1"/>
  <c r="D15" i="41"/>
  <c r="H15" i="41" s="1"/>
  <c r="D5" i="41"/>
  <c r="H5" i="41" s="1"/>
  <c r="H16" i="41" l="1"/>
  <c r="E33" i="38"/>
  <c r="H17" i="41"/>
  <c r="C21" i="39"/>
  <c r="E21" i="39" s="1"/>
  <c r="F21" i="39" s="1"/>
  <c r="F3" i="41"/>
  <c r="C7" i="39"/>
  <c r="E7" i="39" s="1"/>
  <c r="F7" i="39" s="1"/>
  <c r="F19" i="41"/>
  <c r="H4" i="41"/>
  <c r="C8" i="39"/>
  <c r="E8" i="39" s="1"/>
  <c r="F8" i="39" s="1"/>
  <c r="F6" i="41"/>
  <c r="H7" i="41"/>
  <c r="C23" i="39"/>
  <c r="E23" i="39" s="1"/>
  <c r="F23" i="39" s="1"/>
  <c r="F15" i="41"/>
  <c r="F5" i="41"/>
  <c r="C54" i="1" l="1"/>
  <c r="D10" i="41" s="1"/>
  <c r="E7" i="4"/>
  <c r="F76" i="40" s="1"/>
  <c r="B3" i="73" s="1"/>
  <c r="D8" i="74" s="1"/>
  <c r="E8" i="74" s="1"/>
  <c r="F8" i="74" s="1"/>
  <c r="G8" i="74" s="1"/>
  <c r="H8" i="74" s="1"/>
  <c r="I8" i="74" s="1"/>
  <c r="J8" i="74" s="1"/>
  <c r="K8" i="74" s="1"/>
  <c r="L8" i="74" s="1"/>
  <c r="M8" i="74" s="1"/>
  <c r="N8" i="74" s="1"/>
  <c r="F10" i="46"/>
  <c r="N9" i="74" l="1"/>
  <c r="M4" i="75" s="1"/>
  <c r="O8" i="74"/>
  <c r="F10" i="41"/>
  <c r="H10" i="41"/>
  <c r="E8" i="4"/>
  <c r="P8" i="74" l="1"/>
  <c r="O9" i="74"/>
  <c r="N4" i="75" s="1"/>
  <c r="E10" i="4"/>
  <c r="H7" i="44" s="1"/>
  <c r="F11" i="46"/>
  <c r="Q8" i="74" l="1"/>
  <c r="P9" i="74"/>
  <c r="O4" i="75" s="1"/>
  <c r="E31" i="4"/>
  <c r="F34" i="46" s="1"/>
  <c r="F13" i="46"/>
  <c r="H78" i="71"/>
  <c r="R8" i="74" l="1"/>
  <c r="R9" i="74" s="1"/>
  <c r="Q4" i="75" s="1"/>
  <c r="Q9" i="74"/>
  <c r="P4" i="75" s="1"/>
  <c r="F79" i="40"/>
  <c r="D9" i="74"/>
  <c r="C4" i="75" s="1"/>
  <c r="H9" i="74"/>
  <c r="G4" i="75" s="1"/>
  <c r="M9" i="74"/>
  <c r="L4" i="75" s="1"/>
  <c r="K9" i="74"/>
  <c r="J4" i="75" s="1"/>
  <c r="E9" i="74"/>
  <c r="D4" i="75" s="1"/>
  <c r="F9" i="74"/>
  <c r="E4" i="75" s="1"/>
  <c r="I9" i="74"/>
  <c r="H4" i="75" s="1"/>
  <c r="L9" i="74"/>
  <c r="K4" i="75" s="1"/>
  <c r="G9" i="74"/>
  <c r="F4" i="75" s="1"/>
  <c r="J9" i="74"/>
  <c r="I4" i="75" s="1"/>
  <c r="A4" i="75" l="1"/>
  <c r="D42" i="40" l="1"/>
  <c r="D23" i="40"/>
  <c r="D46" i="40"/>
  <c r="D33" i="40"/>
  <c r="D26" i="40"/>
  <c r="D31" i="40"/>
  <c r="D32" i="40"/>
  <c r="D47" i="40"/>
  <c r="D40" i="40"/>
  <c r="D13" i="40"/>
  <c r="D14" i="40"/>
  <c r="D30" i="40"/>
  <c r="D38" i="40"/>
  <c r="D25" i="40"/>
  <c r="D39" i="40"/>
  <c r="D41" i="40"/>
  <c r="D24" i="40"/>
  <c r="D22" i="40"/>
  <c r="D29" i="40"/>
  <c r="D37" i="40"/>
  <c r="D45" i="40"/>
  <c r="E11" i="4"/>
  <c r="D27" i="40" l="1"/>
  <c r="D35" i="40"/>
  <c r="D48" i="40"/>
  <c r="D43" i="40"/>
  <c r="F14" i="46"/>
  <c r="E22" i="4"/>
  <c r="C58" i="10"/>
  <c r="C69" i="10" s="1"/>
  <c r="E14" i="4"/>
  <c r="F17" i="46" s="1"/>
  <c r="F69" i="40"/>
  <c r="C59" i="10"/>
  <c r="C70" i="10" s="1"/>
  <c r="E8" i="13"/>
  <c r="C57" i="10"/>
  <c r="C68" i="10" s="1"/>
  <c r="E6" i="13"/>
  <c r="E13" i="4"/>
  <c r="F16" i="46" s="1"/>
  <c r="R7" i="74" l="1"/>
  <c r="O7" i="74"/>
  <c r="N7" i="74"/>
  <c r="Q7" i="74"/>
  <c r="P7" i="74"/>
  <c r="C75" i="10"/>
  <c r="E7" i="13" s="1"/>
  <c r="F73" i="40"/>
  <c r="F25" i="46"/>
  <c r="H10" i="71"/>
  <c r="C12" i="40"/>
  <c r="C10" i="40"/>
  <c r="H8" i="71"/>
  <c r="G7" i="74"/>
  <c r="I7" i="74"/>
  <c r="M7" i="74"/>
  <c r="H7" i="74"/>
  <c r="L7" i="74"/>
  <c r="K7" i="74"/>
  <c r="E7" i="74"/>
  <c r="F74" i="40"/>
  <c r="J7" i="74"/>
  <c r="D7" i="74"/>
  <c r="F7" i="74"/>
  <c r="N16" i="75" l="1"/>
  <c r="O16" i="75"/>
  <c r="M16" i="75"/>
  <c r="P16" i="75"/>
  <c r="Q16" i="75"/>
  <c r="N18" i="75"/>
  <c r="P18" i="75"/>
  <c r="O18" i="75"/>
  <c r="Q18" i="75"/>
  <c r="M18" i="75"/>
  <c r="E5" i="13"/>
  <c r="E3" i="13" s="1"/>
  <c r="E16" i="75"/>
  <c r="D16" i="75"/>
  <c r="F16" i="75"/>
  <c r="C16" i="75"/>
  <c r="K16" i="75"/>
  <c r="H16" i="75"/>
  <c r="E10" i="40"/>
  <c r="L16" i="75"/>
  <c r="J16" i="75"/>
  <c r="G16" i="75"/>
  <c r="D10" i="40"/>
  <c r="I16" i="75"/>
  <c r="K18" i="75"/>
  <c r="E12" i="40"/>
  <c r="E18" i="75"/>
  <c r="F18" i="75"/>
  <c r="J18" i="75"/>
  <c r="D18" i="75"/>
  <c r="I18" i="75"/>
  <c r="L18" i="75"/>
  <c r="C18" i="75"/>
  <c r="G18" i="75"/>
  <c r="D12" i="40"/>
  <c r="H18" i="75"/>
  <c r="C11" i="40"/>
  <c r="H9" i="71"/>
  <c r="Q17" i="75" l="1"/>
  <c r="O17" i="75"/>
  <c r="M17" i="75"/>
  <c r="P17" i="75"/>
  <c r="N17" i="75"/>
  <c r="C9" i="40"/>
  <c r="H7" i="71"/>
  <c r="E11" i="40"/>
  <c r="I17" i="75"/>
  <c r="E17" i="75"/>
  <c r="C17" i="75"/>
  <c r="G17" i="75"/>
  <c r="L17" i="75"/>
  <c r="D17" i="75"/>
  <c r="K17" i="75"/>
  <c r="F17" i="75"/>
  <c r="J17" i="75"/>
  <c r="H17" i="75"/>
  <c r="D11" i="40"/>
  <c r="G5" i="71"/>
  <c r="H5" i="20"/>
  <c r="H5" i="21"/>
  <c r="F15" i="75" l="1"/>
  <c r="Q15" i="75"/>
  <c r="Q21" i="75" s="1"/>
  <c r="M15" i="75"/>
  <c r="M21" i="75" s="1"/>
  <c r="N15" i="75"/>
  <c r="N21" i="75" s="1"/>
  <c r="O15" i="75"/>
  <c r="O21" i="75" s="1"/>
  <c r="P15" i="75"/>
  <c r="P21" i="75" s="1"/>
  <c r="L15" i="75"/>
  <c r="L21" i="75" s="1"/>
  <c r="J15" i="75"/>
  <c r="J21" i="75" s="1"/>
  <c r="G15" i="75"/>
  <c r="G21" i="75" s="1"/>
  <c r="D15" i="75"/>
  <c r="D21" i="75" s="1"/>
  <c r="C15" i="75"/>
  <c r="C21" i="75" s="1"/>
  <c r="K15" i="75"/>
  <c r="K21" i="75" s="1"/>
  <c r="E15" i="75"/>
  <c r="E21" i="75" s="1"/>
  <c r="H15" i="75"/>
  <c r="H21" i="75" s="1"/>
  <c r="D9" i="40"/>
  <c r="D15" i="40" s="1"/>
  <c r="I15" i="75"/>
  <c r="I21" i="75" s="1"/>
  <c r="E9" i="40"/>
  <c r="E15" i="40" s="1"/>
  <c r="C15" i="40"/>
  <c r="F21" i="75"/>
  <c r="H58" i="71"/>
  <c r="H51" i="71"/>
  <c r="F9" i="40" l="1"/>
  <c r="F14" i="40"/>
  <c r="F10" i="40"/>
  <c r="F13" i="40"/>
  <c r="F12" i="40"/>
  <c r="F11" i="40"/>
  <c r="A21" i="75"/>
  <c r="F38" i="5"/>
  <c r="H21" i="14" s="1"/>
  <c r="F15" i="40" l="1"/>
  <c r="F72" i="46"/>
  <c r="H33" i="71"/>
  <c r="C18" i="40"/>
  <c r="H22" i="14"/>
  <c r="P22" i="75" l="1"/>
  <c r="Q22" i="75"/>
  <c r="M22" i="75"/>
  <c r="N22" i="75"/>
  <c r="O22" i="75"/>
  <c r="H34" i="71"/>
  <c r="H32" i="71" s="1"/>
  <c r="G15" i="71" s="1"/>
  <c r="C19" i="40"/>
  <c r="G22" i="75"/>
  <c r="H22" i="75"/>
  <c r="C22" i="75"/>
  <c r="E18" i="40"/>
  <c r="E22" i="75"/>
  <c r="J22" i="75"/>
  <c r="F22" i="75"/>
  <c r="K22" i="75"/>
  <c r="L22" i="75"/>
  <c r="I22" i="75"/>
  <c r="D22" i="75"/>
  <c r="D18" i="40"/>
  <c r="H20" i="14"/>
  <c r="H3" i="14" s="1"/>
  <c r="C20" i="40" l="1"/>
  <c r="M23" i="75"/>
  <c r="O23" i="75"/>
  <c r="O24" i="75" s="1"/>
  <c r="O35" i="75" s="1"/>
  <c r="O38" i="75" s="1"/>
  <c r="P23" i="75"/>
  <c r="P24" i="75" s="1"/>
  <c r="P35" i="75" s="1"/>
  <c r="P38" i="75" s="1"/>
  <c r="Q23" i="75"/>
  <c r="Q24" i="75" s="1"/>
  <c r="Q35" i="75" s="1"/>
  <c r="Q38" i="75" s="1"/>
  <c r="N23" i="75"/>
  <c r="N24" i="75" s="1"/>
  <c r="N35" i="75" s="1"/>
  <c r="N38" i="75" s="1"/>
  <c r="M24" i="75"/>
  <c r="M35" i="75" s="1"/>
  <c r="M38" i="75" s="1"/>
  <c r="H23" i="75"/>
  <c r="H24" i="75" s="1"/>
  <c r="H35" i="75" s="1"/>
  <c r="H38" i="75" s="1"/>
  <c r="D23" i="75"/>
  <c r="D24" i="75" s="1"/>
  <c r="D35" i="75" s="1"/>
  <c r="D38" i="75" s="1"/>
  <c r="E23" i="75"/>
  <c r="E24" i="75" s="1"/>
  <c r="E35" i="75" s="1"/>
  <c r="E38" i="75" s="1"/>
  <c r="F23" i="75"/>
  <c r="F24" i="75" s="1"/>
  <c r="F35" i="75" s="1"/>
  <c r="F38" i="75" s="1"/>
  <c r="J23" i="75"/>
  <c r="J24" i="75" s="1"/>
  <c r="J35" i="75" s="1"/>
  <c r="J38" i="75" s="1"/>
  <c r="C23" i="75"/>
  <c r="C24" i="75" s="1"/>
  <c r="L23" i="75"/>
  <c r="L24" i="75" s="1"/>
  <c r="L35" i="75" s="1"/>
  <c r="L38" i="75" s="1"/>
  <c r="I23" i="75"/>
  <c r="I24" i="75" s="1"/>
  <c r="I35" i="75" s="1"/>
  <c r="I38" i="75" s="1"/>
  <c r="D19" i="40"/>
  <c r="D20" i="40" s="1"/>
  <c r="D49" i="40" s="1"/>
  <c r="D51" i="40" s="1"/>
  <c r="G23" i="75"/>
  <c r="G24" i="75" s="1"/>
  <c r="G35" i="75" s="1"/>
  <c r="G38" i="75" s="1"/>
  <c r="E19" i="40"/>
  <c r="E20" i="40" s="1"/>
  <c r="E49" i="40" s="1"/>
  <c r="E51" i="40" s="1"/>
  <c r="K23" i="75"/>
  <c r="K24" i="75" s="1"/>
  <c r="K35" i="75" s="1"/>
  <c r="K38" i="75" s="1"/>
  <c r="C49" i="40"/>
  <c r="H7" i="21"/>
  <c r="H7" i="20"/>
  <c r="H3" i="20" l="1"/>
  <c r="H53" i="71"/>
  <c r="A24" i="75"/>
  <c r="C35" i="75"/>
  <c r="H60" i="71"/>
  <c r="F41" i="40"/>
  <c r="F37" i="40"/>
  <c r="F42" i="40"/>
  <c r="F30" i="40"/>
  <c r="F31" i="40"/>
  <c r="F47" i="40"/>
  <c r="F24" i="40"/>
  <c r="F23" i="40"/>
  <c r="F29" i="40"/>
  <c r="F46" i="40"/>
  <c r="F38" i="40"/>
  <c r="F39" i="40"/>
  <c r="C51" i="40"/>
  <c r="F25" i="40"/>
  <c r="F22" i="40"/>
  <c r="F26" i="40"/>
  <c r="F40" i="40"/>
  <c r="F32" i="40"/>
  <c r="F45" i="40"/>
  <c r="F33" i="40"/>
  <c r="F18" i="40"/>
  <c r="F19" i="40"/>
  <c r="F20" i="40" l="1"/>
  <c r="F35" i="40"/>
  <c r="F43" i="40"/>
  <c r="H49" i="71"/>
  <c r="H9" i="21"/>
  <c r="F48" i="40"/>
  <c r="F27" i="40"/>
  <c r="A35" i="75"/>
  <c r="C38" i="75"/>
  <c r="A38" i="75" s="1"/>
  <c r="F49" i="40" l="1"/>
  <c r="C53" i="40"/>
  <c r="H62" i="71"/>
  <c r="H3" i="21"/>
  <c r="D113" i="66"/>
  <c r="F101" i="5" s="1"/>
  <c r="H5" i="25" l="1"/>
  <c r="H56" i="71"/>
  <c r="H5" i="44"/>
  <c r="F135" i="46"/>
  <c r="H9" i="44"/>
  <c r="H80" i="71" s="1"/>
  <c r="F75" i="40"/>
  <c r="D12" i="41"/>
  <c r="E53" i="40"/>
  <c r="E64" i="40" s="1"/>
  <c r="E66" i="40" s="1"/>
  <c r="D53" i="40"/>
  <c r="D64" i="40" s="1"/>
  <c r="D66" i="40" s="1"/>
  <c r="C66" i="40"/>
  <c r="C64" i="40"/>
  <c r="Q10" i="75" l="1"/>
  <c r="N11" i="75"/>
  <c r="O11" i="75"/>
  <c r="P12" i="75"/>
  <c r="M10" i="75"/>
  <c r="Q11" i="75"/>
  <c r="N10" i="75"/>
  <c r="M11" i="75"/>
  <c r="Q12" i="75"/>
  <c r="O10" i="75"/>
  <c r="P10" i="75"/>
  <c r="P11" i="75"/>
  <c r="M12" i="75"/>
  <c r="N12" i="75"/>
  <c r="O12" i="75"/>
  <c r="P11" i="74"/>
  <c r="O5" i="75" s="1"/>
  <c r="O6" i="75" s="1"/>
  <c r="Q11" i="74"/>
  <c r="P5" i="75" s="1"/>
  <c r="P6" i="75" s="1"/>
  <c r="R11" i="74"/>
  <c r="Q5" i="75" s="1"/>
  <c r="Q6" i="75" s="1"/>
  <c r="O11" i="74"/>
  <c r="N5" i="75" s="1"/>
  <c r="N6" i="75" s="1"/>
  <c r="N11" i="74"/>
  <c r="M5" i="75" s="1"/>
  <c r="M6" i="75" s="1"/>
  <c r="C12" i="75"/>
  <c r="L10" i="75"/>
  <c r="E10" i="75"/>
  <c r="K11" i="75"/>
  <c r="G11" i="75"/>
  <c r="D12" i="75"/>
  <c r="H11" i="75"/>
  <c r="I11" i="75"/>
  <c r="C10" i="75"/>
  <c r="K10" i="75"/>
  <c r="H10" i="75"/>
  <c r="C11" i="75"/>
  <c r="E12" i="75"/>
  <c r="F11" i="75"/>
  <c r="L11" i="75"/>
  <c r="H12" i="75"/>
  <c r="E11" i="75"/>
  <c r="J10" i="75"/>
  <c r="D10" i="75"/>
  <c r="I12" i="75"/>
  <c r="G12" i="75"/>
  <c r="D11" i="75"/>
  <c r="F12" i="75"/>
  <c r="J11" i="75"/>
  <c r="G10" i="75"/>
  <c r="I10" i="75"/>
  <c r="K12" i="75"/>
  <c r="F10" i="75"/>
  <c r="J12" i="75"/>
  <c r="L12" i="75"/>
  <c r="F12" i="41"/>
  <c r="C16" i="39" s="1"/>
  <c r="E16" i="39" s="1"/>
  <c r="F16" i="39" s="1"/>
  <c r="H12" i="41"/>
  <c r="H3" i="44"/>
  <c r="H74" i="71" s="1"/>
  <c r="H76" i="71"/>
  <c r="F78" i="40"/>
  <c r="F77" i="40"/>
  <c r="J11" i="74"/>
  <c r="I5" i="75" s="1"/>
  <c r="I6" i="75" s="1"/>
  <c r="I11" i="74"/>
  <c r="H5" i="75" s="1"/>
  <c r="H6" i="75" s="1"/>
  <c r="M11" i="74"/>
  <c r="L5" i="75" s="1"/>
  <c r="L6" i="75" s="1"/>
  <c r="L11" i="74"/>
  <c r="K5" i="75" s="1"/>
  <c r="K6" i="75" s="1"/>
  <c r="E11" i="74"/>
  <c r="D5" i="75" s="1"/>
  <c r="D6" i="75" s="1"/>
  <c r="F11" i="74"/>
  <c r="E5" i="75" s="1"/>
  <c r="E6" i="75" s="1"/>
  <c r="H11" i="74"/>
  <c r="G5" i="75" s="1"/>
  <c r="G6" i="75" s="1"/>
  <c r="K11" i="74"/>
  <c r="J5" i="75" s="1"/>
  <c r="J6" i="75" s="1"/>
  <c r="G11" i="74"/>
  <c r="F5" i="75" s="1"/>
  <c r="F6" i="75" s="1"/>
  <c r="D11" i="74"/>
  <c r="C5" i="75" s="1"/>
  <c r="H69" i="71"/>
  <c r="H3" i="25"/>
  <c r="H67" i="71" s="1"/>
  <c r="F10" i="74" l="1"/>
  <c r="N10" i="74"/>
  <c r="I10" i="74"/>
  <c r="Q10" i="74"/>
  <c r="R10" i="74"/>
  <c r="H10" i="74"/>
  <c r="P10" i="74"/>
  <c r="J10" i="74"/>
  <c r="E10" i="74"/>
  <c r="M10" i="74"/>
  <c r="D10" i="74"/>
  <c r="L10" i="74"/>
  <c r="K10" i="74"/>
  <c r="G10" i="74"/>
  <c r="O10" i="74"/>
  <c r="P13" i="75"/>
  <c r="N13" i="75"/>
  <c r="O13" i="75"/>
  <c r="M13" i="75"/>
  <c r="Q13" i="75"/>
  <c r="F82" i="40"/>
  <c r="G13" i="75"/>
  <c r="A11" i="75"/>
  <c r="I13" i="75"/>
  <c r="D13" i="75"/>
  <c r="H13" i="75"/>
  <c r="E13" i="75"/>
  <c r="I27" i="39"/>
  <c r="L27" i="39" s="1"/>
  <c r="L32" i="39" s="1"/>
  <c r="C29" i="39" s="1"/>
  <c r="I29" i="39"/>
  <c r="L29" i="39" s="1"/>
  <c r="I28" i="39"/>
  <c r="L28" i="39" s="1"/>
  <c r="J13" i="75"/>
  <c r="K13" i="75"/>
  <c r="L13" i="75"/>
  <c r="C6" i="75"/>
  <c r="A5" i="75"/>
  <c r="F13" i="75"/>
  <c r="C13" i="75"/>
  <c r="A10" i="75"/>
  <c r="A12" i="75"/>
  <c r="B6" i="73" l="1"/>
  <c r="B13" i="73" s="1"/>
  <c r="F83" i="40"/>
  <c r="B8" i="73" s="1"/>
  <c r="A6" i="75"/>
  <c r="A13" i="75"/>
  <c r="C6" i="73" l="1"/>
  <c r="F80" i="40"/>
  <c r="C7" i="75" l="1"/>
  <c r="D7" i="75" l="1"/>
  <c r="D8" i="75" s="1"/>
  <c r="D9" i="75" s="1"/>
  <c r="D14" i="75" s="1"/>
  <c r="C8" i="75"/>
  <c r="C9" i="75" l="1"/>
  <c r="E7" i="75"/>
  <c r="D40" i="75"/>
  <c r="D43" i="75"/>
  <c r="E4" i="76" s="1"/>
  <c r="D39" i="75"/>
  <c r="E8" i="75" l="1"/>
  <c r="F7" i="75"/>
  <c r="F8" i="75" s="1"/>
  <c r="F9" i="75" s="1"/>
  <c r="F14" i="75" s="1"/>
  <c r="C14" i="75"/>
  <c r="D44" i="75"/>
  <c r="D45" i="75"/>
  <c r="D41" i="75"/>
  <c r="G7" i="75" l="1"/>
  <c r="G8" i="75" s="1"/>
  <c r="G9" i="75" s="1"/>
  <c r="G14" i="75" s="1"/>
  <c r="F43" i="75"/>
  <c r="G4" i="76" s="1"/>
  <c r="F39" i="75"/>
  <c r="F40" i="75"/>
  <c r="C39" i="75"/>
  <c r="C40" i="75"/>
  <c r="C43" i="75"/>
  <c r="D4" i="76" s="1"/>
  <c r="D47" i="75"/>
  <c r="D48" i="75"/>
  <c r="D49" i="75"/>
  <c r="E9" i="75"/>
  <c r="D46" i="75" l="1"/>
  <c r="E6" i="76" s="1"/>
  <c r="E14" i="75"/>
  <c r="C44" i="75"/>
  <c r="F44" i="75"/>
  <c r="G43" i="75"/>
  <c r="H4" i="76" s="1"/>
  <c r="G40" i="75"/>
  <c r="G39" i="75"/>
  <c r="C45" i="75"/>
  <c r="C47" i="75" s="1"/>
  <c r="C41" i="75"/>
  <c r="F41" i="75"/>
  <c r="F45" i="75"/>
  <c r="H7" i="75"/>
  <c r="D50" i="75" l="1"/>
  <c r="D51" i="75" s="1"/>
  <c r="F48" i="75"/>
  <c r="F47" i="75"/>
  <c r="F49" i="75"/>
  <c r="C49" i="75"/>
  <c r="C48" i="75"/>
  <c r="G45" i="75"/>
  <c r="G41" i="75"/>
  <c r="G44" i="75"/>
  <c r="E40" i="75"/>
  <c r="E43" i="75"/>
  <c r="F4" i="76" s="1"/>
  <c r="E39" i="75"/>
  <c r="I7" i="75"/>
  <c r="I8" i="75" s="1"/>
  <c r="I9" i="75" s="1"/>
  <c r="I14" i="75" s="1"/>
  <c r="H8" i="75"/>
  <c r="C46" i="75" l="1"/>
  <c r="D6" i="76" s="1"/>
  <c r="F46" i="75"/>
  <c r="G6" i="76" s="1"/>
  <c r="J7" i="75"/>
  <c r="E44" i="75"/>
  <c r="H9" i="75"/>
  <c r="I40" i="75"/>
  <c r="I39" i="75"/>
  <c r="I43" i="75"/>
  <c r="J4" i="76" s="1"/>
  <c r="E45" i="75"/>
  <c r="E41" i="75"/>
  <c r="G47" i="75"/>
  <c r="G48" i="75"/>
  <c r="G49" i="75"/>
  <c r="G46" i="75" l="1"/>
  <c r="H6" i="76" s="1"/>
  <c r="K7" i="75"/>
  <c r="K8" i="75" s="1"/>
  <c r="K9" i="75" s="1"/>
  <c r="K14" i="75" s="1"/>
  <c r="C50" i="75"/>
  <c r="J8" i="75"/>
  <c r="I44" i="75"/>
  <c r="H14" i="75"/>
  <c r="I45" i="75"/>
  <c r="I41" i="75"/>
  <c r="E47" i="75"/>
  <c r="E49" i="75"/>
  <c r="E48" i="75"/>
  <c r="F50" i="75"/>
  <c r="F51" i="75" s="1"/>
  <c r="L7" i="75" l="1"/>
  <c r="L8" i="75" s="1"/>
  <c r="L9" i="75" s="1"/>
  <c r="L14" i="75" s="1"/>
  <c r="L40" i="75" s="1"/>
  <c r="G50" i="75"/>
  <c r="G51" i="75" s="1"/>
  <c r="E46" i="75"/>
  <c r="F6" i="76" s="1"/>
  <c r="C51" i="75"/>
  <c r="H43" i="75"/>
  <c r="I4" i="76" s="1"/>
  <c r="H39" i="75"/>
  <c r="H40" i="75"/>
  <c r="J9" i="75"/>
  <c r="K40" i="75"/>
  <c r="K39" i="75"/>
  <c r="K43" i="75"/>
  <c r="L4" i="76" s="1"/>
  <c r="I47" i="75"/>
  <c r="I48" i="75"/>
  <c r="I49" i="75"/>
  <c r="L39" i="75" l="1"/>
  <c r="L43" i="75"/>
  <c r="M4" i="76" s="1"/>
  <c r="M7" i="75"/>
  <c r="K44" i="75"/>
  <c r="H44" i="75"/>
  <c r="E50" i="75"/>
  <c r="I46" i="75"/>
  <c r="J6" i="76" s="1"/>
  <c r="K45" i="75"/>
  <c r="K41" i="75"/>
  <c r="H45" i="75"/>
  <c r="H41" i="75"/>
  <c r="J14" i="75"/>
  <c r="L41" i="75"/>
  <c r="L45" i="75"/>
  <c r="L44" i="75" l="1"/>
  <c r="N7" i="75"/>
  <c r="N8" i="75" s="1"/>
  <c r="N9" i="75" s="1"/>
  <c r="N14" i="75" s="1"/>
  <c r="M8" i="75"/>
  <c r="H47" i="75"/>
  <c r="H48" i="75"/>
  <c r="H49" i="75"/>
  <c r="L49" i="75"/>
  <c r="L47" i="75"/>
  <c r="L48" i="75"/>
  <c r="J39" i="75"/>
  <c r="J43" i="75"/>
  <c r="K4" i="76" s="1"/>
  <c r="J40" i="75"/>
  <c r="E51" i="75"/>
  <c r="K49" i="75"/>
  <c r="K47" i="75"/>
  <c r="K48" i="75"/>
  <c r="I50" i="75"/>
  <c r="I51" i="75" s="1"/>
  <c r="M9" i="75" l="1"/>
  <c r="O7" i="75"/>
  <c r="N39" i="75"/>
  <c r="N43" i="75"/>
  <c r="O4" i="76" s="1"/>
  <c r="N40" i="75"/>
  <c r="K46" i="75"/>
  <c r="L6" i="76" s="1"/>
  <c r="H46" i="75"/>
  <c r="I6" i="76" s="1"/>
  <c r="J44" i="75"/>
  <c r="J45" i="75"/>
  <c r="J41" i="75"/>
  <c r="L46" i="75"/>
  <c r="M6" i="76" s="1"/>
  <c r="N44" i="75" l="1"/>
  <c r="N45" i="75"/>
  <c r="N41" i="75"/>
  <c r="M14" i="75"/>
  <c r="Q7" i="75"/>
  <c r="Q8" i="75" s="1"/>
  <c r="Q9" i="75" s="1"/>
  <c r="Q14" i="75" s="1"/>
  <c r="P7" i="75"/>
  <c r="P8" i="75" s="1"/>
  <c r="P9" i="75" s="1"/>
  <c r="P14" i="75" s="1"/>
  <c r="O8" i="75"/>
  <c r="K50" i="75"/>
  <c r="K51" i="75" s="1"/>
  <c r="J49" i="75"/>
  <c r="J47" i="75"/>
  <c r="J48" i="75"/>
  <c r="L50" i="75"/>
  <c r="L51" i="75" s="1"/>
  <c r="H50" i="75"/>
  <c r="Q39" i="75" l="1"/>
  <c r="Q43" i="75"/>
  <c r="R4" i="76" s="1"/>
  <c r="Q40" i="75"/>
  <c r="A7" i="75"/>
  <c r="N48" i="75"/>
  <c r="N47" i="75"/>
  <c r="N49" i="75"/>
  <c r="O9" i="75"/>
  <c r="A8" i="75"/>
  <c r="P39" i="75"/>
  <c r="P40" i="75"/>
  <c r="P43" i="75"/>
  <c r="Q4" i="76" s="1"/>
  <c r="M39" i="75"/>
  <c r="M40" i="75"/>
  <c r="M43" i="75"/>
  <c r="N4" i="76" s="1"/>
  <c r="J46" i="75"/>
  <c r="K6" i="76" s="1"/>
  <c r="H51" i="75"/>
  <c r="Q45" i="75" l="1"/>
  <c r="Q41" i="75"/>
  <c r="P44" i="75"/>
  <c r="N46" i="75"/>
  <c r="O6" i="76" s="1"/>
  <c r="Q44" i="75"/>
  <c r="M44" i="75"/>
  <c r="P45" i="75"/>
  <c r="P41" i="75"/>
  <c r="O14" i="75"/>
  <c r="B22" i="73"/>
  <c r="A9" i="75"/>
  <c r="C4" i="78" s="1"/>
  <c r="M45" i="75"/>
  <c r="M41" i="75"/>
  <c r="J50" i="75"/>
  <c r="O7" i="76" l="1"/>
  <c r="O12" i="76" s="1"/>
  <c r="B20" i="79" s="1"/>
  <c r="C20" i="79" s="1"/>
  <c r="D9" i="78"/>
  <c r="D22" i="78" s="1"/>
  <c r="E9" i="78"/>
  <c r="O39" i="75"/>
  <c r="A39" i="75" s="1"/>
  <c r="O40" i="75"/>
  <c r="O43" i="75"/>
  <c r="P4" i="76" s="1"/>
  <c r="A14" i="75"/>
  <c r="N50" i="75"/>
  <c r="N51" i="75" s="1"/>
  <c r="Q47" i="75"/>
  <c r="Q49" i="75"/>
  <c r="Q48" i="75"/>
  <c r="P48" i="75"/>
  <c r="P49" i="75"/>
  <c r="P47" i="75"/>
  <c r="M49" i="75"/>
  <c r="M48" i="75"/>
  <c r="M47" i="75"/>
  <c r="J51" i="75"/>
  <c r="D23" i="78" l="1"/>
  <c r="C5" i="76" s="1"/>
  <c r="B4" i="76"/>
  <c r="A41" i="75"/>
  <c r="P46" i="75"/>
  <c r="M46" i="75"/>
  <c r="N6" i="76" s="1"/>
  <c r="Q46" i="75"/>
  <c r="R6" i="76" s="1"/>
  <c r="O44" i="75"/>
  <c r="A43" i="75"/>
  <c r="A44" i="75" s="1"/>
  <c r="O41" i="75"/>
  <c r="O45" i="75"/>
  <c r="A40" i="75"/>
  <c r="E22" i="78"/>
  <c r="F9" i="78"/>
  <c r="C7" i="76" l="1"/>
  <c r="E23" i="78"/>
  <c r="D5" i="76" s="1"/>
  <c r="D7" i="76" s="1"/>
  <c r="D12" i="76" s="1"/>
  <c r="N7" i="76"/>
  <c r="N12" i="76" s="1"/>
  <c r="R7" i="76"/>
  <c r="R12" i="76" s="1"/>
  <c r="P50" i="75"/>
  <c r="P51" i="75" s="1"/>
  <c r="Q6" i="76"/>
  <c r="O48" i="75"/>
  <c r="A48" i="75" s="1"/>
  <c r="O49" i="75"/>
  <c r="A49" i="75" s="1"/>
  <c r="O47" i="75"/>
  <c r="A45" i="75"/>
  <c r="Q50" i="75"/>
  <c r="Q51" i="75" s="1"/>
  <c r="F22" i="78"/>
  <c r="G9" i="78"/>
  <c r="M50" i="75"/>
  <c r="C12" i="76" l="1"/>
  <c r="F23" i="78"/>
  <c r="E5" i="76" s="1"/>
  <c r="E7" i="76" s="1"/>
  <c r="Q7" i="76"/>
  <c r="B23" i="79"/>
  <c r="C23" i="79" s="1"/>
  <c r="B9" i="79"/>
  <c r="G22" i="78"/>
  <c r="H9" i="78"/>
  <c r="O46" i="75"/>
  <c r="P6" i="76" s="1"/>
  <c r="A47" i="75"/>
  <c r="B19" i="79"/>
  <c r="C19" i="79" s="1"/>
  <c r="M51" i="75"/>
  <c r="B8" i="79" l="1"/>
  <c r="C8" i="79" s="1"/>
  <c r="D8" i="79" s="1"/>
  <c r="C14" i="76"/>
  <c r="D13" i="76" s="1"/>
  <c r="D14" i="76" s="1"/>
  <c r="E13" i="76" s="1"/>
  <c r="B6" i="76"/>
  <c r="Q12" i="76"/>
  <c r="B22" i="79" s="1"/>
  <c r="C22" i="79" s="1"/>
  <c r="G23" i="78"/>
  <c r="F5" i="76" s="1"/>
  <c r="F7" i="76" s="1"/>
  <c r="F12" i="76" s="1"/>
  <c r="B11" i="79" s="1"/>
  <c r="C11" i="79" s="1"/>
  <c r="C9" i="79"/>
  <c r="P7" i="76"/>
  <c r="P12" i="76" s="1"/>
  <c r="E12" i="76"/>
  <c r="O50" i="75"/>
  <c r="A46" i="75"/>
  <c r="H22" i="78"/>
  <c r="I9" i="78"/>
  <c r="D9" i="79" l="1"/>
  <c r="H23" i="78"/>
  <c r="E14" i="76"/>
  <c r="F13" i="76" s="1"/>
  <c r="F14" i="76" s="1"/>
  <c r="G13" i="76" s="1"/>
  <c r="B10" i="79"/>
  <c r="C10" i="79" s="1"/>
  <c r="O51" i="75"/>
  <c r="A50" i="75"/>
  <c r="A51" i="75" s="1"/>
  <c r="I22" i="78"/>
  <c r="J9" i="78"/>
  <c r="D10" i="79" l="1"/>
  <c r="D11" i="79" s="1"/>
  <c r="E8" i="79"/>
  <c r="G5" i="76"/>
  <c r="I23" i="78"/>
  <c r="H5" i="76" s="1"/>
  <c r="H7" i="76" s="1"/>
  <c r="H12" i="76" s="1"/>
  <c r="B13" i="79" s="1"/>
  <c r="C13" i="79" s="1"/>
  <c r="B21" i="79"/>
  <c r="C21" i="79" s="1"/>
  <c r="J22" i="78"/>
  <c r="K9" i="78"/>
  <c r="G7" i="76" l="1"/>
  <c r="E9" i="79"/>
  <c r="E10" i="79"/>
  <c r="K22" i="78"/>
  <c r="L9" i="78"/>
  <c r="J23" i="78"/>
  <c r="I5" i="76" s="1"/>
  <c r="I7" i="76" s="1"/>
  <c r="G12" i="76" l="1"/>
  <c r="K23" i="78"/>
  <c r="J5" i="76" s="1"/>
  <c r="J7" i="76" s="1"/>
  <c r="J12" i="76" s="1"/>
  <c r="I12" i="76"/>
  <c r="L22" i="78"/>
  <c r="M9" i="78"/>
  <c r="M22" i="78" s="1"/>
  <c r="B12" i="79" l="1"/>
  <c r="C12" i="79" s="1"/>
  <c r="D12" i="79" s="1"/>
  <c r="G14" i="76"/>
  <c r="H13" i="76" s="1"/>
  <c r="H14" i="76" s="1"/>
  <c r="I13" i="76" s="1"/>
  <c r="I14" i="76" s="1"/>
  <c r="J13" i="76" s="1"/>
  <c r="J14" i="76" s="1"/>
  <c r="K13" i="76" s="1"/>
  <c r="M23" i="78"/>
  <c r="L23" i="78"/>
  <c r="B14" i="79"/>
  <c r="C14" i="79" s="1"/>
  <c r="C9" i="78"/>
  <c r="C22" i="78"/>
  <c r="D13" i="79" l="1"/>
  <c r="D14" i="79" s="1"/>
  <c r="E13" i="79" s="1"/>
  <c r="E11" i="79"/>
  <c r="L5" i="76"/>
  <c r="K5" i="76"/>
  <c r="K7" i="76" s="1"/>
  <c r="K12" i="76" s="1"/>
  <c r="B16" i="79" s="1"/>
  <c r="C16" i="79" s="1"/>
  <c r="M7" i="76"/>
  <c r="C23" i="78"/>
  <c r="B15" i="79"/>
  <c r="C15" i="79" s="1"/>
  <c r="E12" i="79" l="1"/>
  <c r="M12" i="76"/>
  <c r="L7" i="76"/>
  <c r="L12" i="76" s="1"/>
  <c r="B17" i="79" s="1"/>
  <c r="C17" i="79" s="1"/>
  <c r="B5" i="76"/>
  <c r="D15" i="79"/>
  <c r="D16" i="79" s="1"/>
  <c r="K14" i="76"/>
  <c r="L13" i="76" s="1"/>
  <c r="B18" i="79" l="1"/>
  <c r="C18" i="79" s="1"/>
  <c r="B19" i="73"/>
  <c r="E14" i="79"/>
  <c r="L14" i="76"/>
  <c r="M13" i="76" s="1"/>
  <c r="M14" i="76" s="1"/>
  <c r="N13" i="76" s="1"/>
  <c r="N14" i="76" s="1"/>
  <c r="O13" i="76" s="1"/>
  <c r="O14" i="76" s="1"/>
  <c r="P13" i="76" s="1"/>
  <c r="P14" i="76" s="1"/>
  <c r="Q13" i="76" s="1"/>
  <c r="Q14" i="76" s="1"/>
  <c r="R13" i="76" s="1"/>
  <c r="R14" i="76" s="1"/>
  <c r="B21" i="73" s="1"/>
  <c r="B10" i="73"/>
  <c r="D17" i="79"/>
  <c r="B12" i="76"/>
  <c r="B7" i="76"/>
  <c r="E15" i="79"/>
  <c r="D18" i="79" l="1"/>
  <c r="D19" i="79" s="1"/>
  <c r="D20" i="79" s="1"/>
  <c r="D21" i="79" s="1"/>
  <c r="D22" i="79" s="1"/>
  <c r="D23" i="79" s="1"/>
  <c r="D24" i="79" s="1"/>
  <c r="D25" i="79" s="1"/>
  <c r="D26" i="79" s="1"/>
  <c r="D27" i="79" s="1"/>
  <c r="D28" i="79" s="1"/>
  <c r="D29" i="79" s="1"/>
  <c r="D30" i="79" s="1"/>
  <c r="D31" i="79" s="1"/>
  <c r="D32" i="79" s="1"/>
  <c r="D33" i="79" s="1"/>
  <c r="C10" i="73"/>
  <c r="E16" i="79"/>
  <c r="E17" i="79" l="1"/>
  <c r="E18" i="79"/>
  <c r="E19" i="79" l="1"/>
  <c r="E20" i="79" l="1"/>
  <c r="E21" i="79" l="1"/>
  <c r="E22" i="79"/>
  <c r="E23" i="79" l="1"/>
  <c r="E24" i="79" l="1"/>
  <c r="E25" i="79" l="1"/>
  <c r="E26" i="79" l="1"/>
  <c r="E28" i="79" l="1"/>
  <c r="E29" i="79" l="1"/>
  <c r="E30" i="79" l="1"/>
  <c r="E31" i="79" l="1"/>
  <c r="E32" i="79" l="1"/>
  <c r="E33" i="79" l="1"/>
  <c r="E27" i="79"/>
  <c r="E34" i="79" l="1"/>
  <c r="B20" i="73" s="1"/>
  <c r="C20" i="7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arthur.oliveira</author>
  </authors>
  <commentList>
    <comment ref="C47" authorId="0" shapeId="0" xr:uid="{00000000-0006-0000-0100-000001000000}">
      <text>
        <r>
          <rPr>
            <b/>
            <sz val="9"/>
            <color indexed="81"/>
            <rFont val="Tahoma"/>
            <family val="2"/>
          </rPr>
          <t>Preencher no caso de não haver os dados  de cada mês</t>
        </r>
        <r>
          <rPr>
            <sz val="9"/>
            <color indexed="81"/>
            <rFont val="Tahoma"/>
            <family val="2"/>
          </rPr>
          <t xml:space="preserve">
</t>
        </r>
      </text>
    </comment>
    <comment ref="D47" authorId="0" shapeId="0" xr:uid="{00000000-0006-0000-0100-000002000000}">
      <text>
        <r>
          <rPr>
            <b/>
            <sz val="9"/>
            <color indexed="81"/>
            <rFont val="Tahoma"/>
            <family val="2"/>
          </rPr>
          <t>Preencher no caso de não haver os dados  de cada mês</t>
        </r>
        <r>
          <rPr>
            <sz val="9"/>
            <color indexed="81"/>
            <rFont val="Tahoma"/>
            <family val="2"/>
          </rPr>
          <t xml:space="preserve">
</t>
        </r>
      </text>
    </comment>
    <comment ref="E47" authorId="0" shapeId="0" xr:uid="{00000000-0006-0000-0100-000003000000}">
      <text>
        <r>
          <rPr>
            <b/>
            <sz val="9"/>
            <color indexed="81"/>
            <rFont val="Tahoma"/>
            <family val="2"/>
          </rPr>
          <t>Preencher no caso de não haver os dados  de cada mês</t>
        </r>
        <r>
          <rPr>
            <sz val="9"/>
            <color indexed="81"/>
            <rFont val="Tahoma"/>
            <family val="2"/>
          </rPr>
          <t xml:space="preserve">
</t>
        </r>
      </text>
    </comment>
    <comment ref="F47" authorId="0" shapeId="0" xr:uid="{00000000-0006-0000-0100-000004000000}">
      <text>
        <r>
          <rPr>
            <b/>
            <sz val="9"/>
            <color indexed="81"/>
            <rFont val="Tahoma"/>
            <family val="2"/>
          </rPr>
          <t>Preencher no caso de não haver os dados  de cada mês</t>
        </r>
        <r>
          <rPr>
            <sz val="9"/>
            <color indexed="81"/>
            <rFont val="Tahoma"/>
            <family val="2"/>
          </rPr>
          <t xml:space="preserve">
</t>
        </r>
      </text>
    </comment>
    <comment ref="G47" authorId="0" shapeId="0" xr:uid="{00000000-0006-0000-0100-000005000000}">
      <text>
        <r>
          <rPr>
            <b/>
            <sz val="9"/>
            <color indexed="81"/>
            <rFont val="Tahoma"/>
            <family val="2"/>
          </rPr>
          <t>Preencher no caso de não haver os dados  de cada mês</t>
        </r>
        <r>
          <rPr>
            <sz val="9"/>
            <color indexed="81"/>
            <rFont val="Tahoma"/>
            <family val="2"/>
          </rPr>
          <t xml:space="preserve">
</t>
        </r>
      </text>
    </comment>
    <comment ref="H47" authorId="0" shapeId="0" xr:uid="{00000000-0006-0000-0100-000006000000}">
      <text>
        <r>
          <rPr>
            <b/>
            <sz val="9"/>
            <color indexed="81"/>
            <rFont val="Tahoma"/>
            <family val="2"/>
          </rPr>
          <t>Preencher no caso de não haver os dados  de cada mês</t>
        </r>
        <r>
          <rPr>
            <sz val="9"/>
            <color indexed="81"/>
            <rFont val="Tahoma"/>
            <family val="2"/>
          </rPr>
          <t xml:space="preserve">
</t>
        </r>
      </text>
    </comment>
    <comment ref="I47" authorId="0" shapeId="0" xr:uid="{00000000-0006-0000-0100-000007000000}">
      <text>
        <r>
          <rPr>
            <b/>
            <sz val="9"/>
            <color indexed="81"/>
            <rFont val="Tahoma"/>
            <family val="2"/>
          </rPr>
          <t>Preencher no caso de não haver os dados  de cada mês</t>
        </r>
        <r>
          <rPr>
            <sz val="9"/>
            <color indexed="81"/>
            <rFont val="Tahoma"/>
            <family val="2"/>
          </rPr>
          <t xml:space="preserve">
</t>
        </r>
      </text>
    </comment>
    <comment ref="J47" authorId="0" shapeId="0" xr:uid="{00000000-0006-0000-0100-000008000000}">
      <text>
        <r>
          <rPr>
            <b/>
            <sz val="9"/>
            <color indexed="81"/>
            <rFont val="Tahoma"/>
            <family val="2"/>
          </rPr>
          <t>Preencher no caso de não haver os dados  de cada mês</t>
        </r>
        <r>
          <rPr>
            <sz val="9"/>
            <color indexed="81"/>
            <rFont val="Tahoma"/>
            <family val="2"/>
          </rPr>
          <t xml:space="preserve">
</t>
        </r>
      </text>
    </comment>
    <comment ref="K47" authorId="0" shapeId="0" xr:uid="{00000000-0006-0000-0100-000009000000}">
      <text>
        <r>
          <rPr>
            <b/>
            <sz val="9"/>
            <color indexed="81"/>
            <rFont val="Tahoma"/>
            <family val="2"/>
          </rPr>
          <t>Preencher no caso de não haver os dados  de cada mês</t>
        </r>
        <r>
          <rPr>
            <sz val="9"/>
            <color indexed="81"/>
            <rFont val="Tahoma"/>
            <family val="2"/>
          </rPr>
          <t xml:space="preserve">
</t>
        </r>
      </text>
    </comment>
    <comment ref="L47" authorId="0" shapeId="0" xr:uid="{00000000-0006-0000-0100-00000A000000}">
      <text>
        <r>
          <rPr>
            <b/>
            <sz val="9"/>
            <color indexed="81"/>
            <rFont val="Tahoma"/>
            <family val="2"/>
          </rPr>
          <t>Preencher no caso de não haver os dados  de cada mês</t>
        </r>
        <r>
          <rPr>
            <sz val="9"/>
            <color indexed="81"/>
            <rFont val="Tahoma"/>
            <family val="2"/>
          </rPr>
          <t xml:space="preserve">
</t>
        </r>
      </text>
    </comment>
  </commentList>
</comments>
</file>

<file path=xl/sharedStrings.xml><?xml version="1.0" encoding="utf-8"?>
<sst xmlns="http://schemas.openxmlformats.org/spreadsheetml/2006/main" count="3181" uniqueCount="1424">
  <si>
    <t>Mês [m]i</t>
  </si>
  <si>
    <t>Linha (nº)</t>
  </si>
  <si>
    <t>ID</t>
  </si>
  <si>
    <t>Dias úteis</t>
  </si>
  <si>
    <t>Sábados</t>
  </si>
  <si>
    <t>km mensal improdutiva (IK)</t>
  </si>
  <si>
    <t>Sem ar condicionado</t>
  </si>
  <si>
    <t>Com ar condicionado</t>
  </si>
  <si>
    <t>Classe do veículo</t>
  </si>
  <si>
    <t>Sem transmissão automática</t>
  </si>
  <si>
    <t>Com transmissão automática</t>
  </si>
  <si>
    <t>Microônibus</t>
  </si>
  <si>
    <t>Miniônibus</t>
  </si>
  <si>
    <t>Midiônibus</t>
  </si>
  <si>
    <t>Ônibus básico</t>
  </si>
  <si>
    <t>Ônibus padron</t>
  </si>
  <si>
    <t>Ônibus articulado</t>
  </si>
  <si>
    <t>Ônibus biarticulado</t>
  </si>
  <si>
    <t>Receita média mensal total do sistema (RT)</t>
  </si>
  <si>
    <t>Média mensal de passageiros pagantes equivalentes (PE)</t>
  </si>
  <si>
    <t>R$</t>
  </si>
  <si>
    <t>3.1.</t>
  </si>
  <si>
    <t>Média mensal da quilometragem programada (KP)</t>
  </si>
  <si>
    <t>3.2.</t>
  </si>
  <si>
    <t>km</t>
  </si>
  <si>
    <t>Quilometragem programada mensal</t>
  </si>
  <si>
    <t>Periodo de análise M (em meses):</t>
  </si>
  <si>
    <t>Domingos / Feriados</t>
  </si>
  <si>
    <t>Índice de passageiro equivalentes por quilômetro (IPKe)</t>
  </si>
  <si>
    <t>3.3.</t>
  </si>
  <si>
    <t>3.4.</t>
  </si>
  <si>
    <r>
      <t>TP</t>
    </r>
    <r>
      <rPr>
        <b/>
        <vertAlign val="subscript"/>
        <sz val="11"/>
        <color indexed="8"/>
        <rFont val="Calibri"/>
        <family val="2"/>
      </rPr>
      <t>1</t>
    </r>
  </si>
  <si>
    <r>
      <t>TP</t>
    </r>
    <r>
      <rPr>
        <b/>
        <vertAlign val="subscript"/>
        <sz val="11"/>
        <color indexed="8"/>
        <rFont val="Calibri"/>
        <family val="2"/>
      </rPr>
      <t>2</t>
    </r>
  </si>
  <si>
    <r>
      <t>TP</t>
    </r>
    <r>
      <rPr>
        <b/>
        <vertAlign val="subscript"/>
        <sz val="11"/>
        <color indexed="8"/>
        <rFont val="Calibri"/>
        <family val="2"/>
      </rPr>
      <t>3</t>
    </r>
  </si>
  <si>
    <r>
      <t>TP</t>
    </r>
    <r>
      <rPr>
        <b/>
        <vertAlign val="subscript"/>
        <sz val="11"/>
        <color indexed="8"/>
        <rFont val="Calibri"/>
        <family val="2"/>
      </rPr>
      <t>4</t>
    </r>
  </si>
  <si>
    <r>
      <t>TP</t>
    </r>
    <r>
      <rPr>
        <b/>
        <vertAlign val="subscript"/>
        <sz val="11"/>
        <color indexed="8"/>
        <rFont val="Calibri"/>
        <family val="2"/>
      </rPr>
      <t>5</t>
    </r>
  </si>
  <si>
    <r>
      <t>TP</t>
    </r>
    <r>
      <rPr>
        <b/>
        <vertAlign val="subscript"/>
        <sz val="11"/>
        <color indexed="8"/>
        <rFont val="Calibri"/>
        <family val="2"/>
      </rPr>
      <t>6</t>
    </r>
  </si>
  <si>
    <r>
      <t>TP</t>
    </r>
    <r>
      <rPr>
        <b/>
        <vertAlign val="subscript"/>
        <sz val="11"/>
        <color indexed="8"/>
        <rFont val="Calibri"/>
        <family val="2"/>
      </rPr>
      <t>7</t>
    </r>
  </si>
  <si>
    <r>
      <t>TP</t>
    </r>
    <r>
      <rPr>
        <b/>
        <vertAlign val="subscript"/>
        <sz val="11"/>
        <color indexed="8"/>
        <rFont val="Calibri"/>
        <family val="2"/>
      </rPr>
      <t>8</t>
    </r>
    <r>
      <rPr>
        <sz val="10"/>
        <rFont val="Arial"/>
        <family val="2"/>
      </rPr>
      <t/>
    </r>
  </si>
  <si>
    <r>
      <t>TP</t>
    </r>
    <r>
      <rPr>
        <b/>
        <vertAlign val="subscript"/>
        <sz val="11"/>
        <color indexed="8"/>
        <rFont val="Calibri"/>
        <family val="2"/>
      </rPr>
      <t>9</t>
    </r>
    <r>
      <rPr>
        <sz val="10"/>
        <rFont val="Arial"/>
        <family val="2"/>
      </rPr>
      <t/>
    </r>
  </si>
  <si>
    <r>
      <t>TP</t>
    </r>
    <r>
      <rPr>
        <b/>
        <vertAlign val="subscript"/>
        <sz val="11"/>
        <color indexed="8"/>
        <rFont val="Calibri"/>
        <family val="2"/>
      </rPr>
      <t>10</t>
    </r>
    <r>
      <rPr>
        <sz val="10"/>
        <rFont val="Arial"/>
        <family val="2"/>
      </rPr>
      <t/>
    </r>
  </si>
  <si>
    <t>pass./km</t>
  </si>
  <si>
    <t>ônibus</t>
  </si>
  <si>
    <t>x FT</t>
  </si>
  <si>
    <t>Óleo diesel (OLD)</t>
  </si>
  <si>
    <t>ARLA 32 (ARL)</t>
  </si>
  <si>
    <t>Rodagem (ROD)</t>
  </si>
  <si>
    <t>Veículo (VEC)</t>
  </si>
  <si>
    <t>Salários e benefícios (SAB)</t>
  </si>
  <si>
    <t>R$/litro</t>
  </si>
  <si>
    <t>litros</t>
  </si>
  <si>
    <t>Lubrificantes (CLB)</t>
  </si>
  <si>
    <t>adimensional</t>
  </si>
  <si>
    <t>Preço do pneu novo</t>
  </si>
  <si>
    <t>Preço da recapagem</t>
  </si>
  <si>
    <t>R$/unidade</t>
  </si>
  <si>
    <t>Valores de Referência de número de recapagens</t>
  </si>
  <si>
    <r>
      <t>β</t>
    </r>
    <r>
      <rPr>
        <i/>
        <sz val="8"/>
        <color indexed="8"/>
        <rFont val="Calibri"/>
        <family val="2"/>
      </rPr>
      <t>Máximo</t>
    </r>
  </si>
  <si>
    <r>
      <t>β</t>
    </r>
    <r>
      <rPr>
        <i/>
        <sz val="8"/>
        <color indexed="8"/>
        <rFont val="Calibri"/>
        <family val="2"/>
      </rPr>
      <t>Minimo</t>
    </r>
  </si>
  <si>
    <t>Valores de Referência para vida útil dos pneus</t>
  </si>
  <si>
    <t>Dimensões</t>
  </si>
  <si>
    <t>215/75 R17,5</t>
  </si>
  <si>
    <t>Tipo</t>
  </si>
  <si>
    <t>275/80 R22,5</t>
  </si>
  <si>
    <t>295/80 R22,5</t>
  </si>
  <si>
    <t xml:space="preserve">Radiais sem câmara </t>
  </si>
  <si>
    <t>Número de Pneus (NP)</t>
  </si>
  <si>
    <t>Especificações de pneus por classe de veículo</t>
  </si>
  <si>
    <t>%</t>
  </si>
  <si>
    <t>Custos Ambientais (CAB)</t>
  </si>
  <si>
    <t>R$/veículo</t>
  </si>
  <si>
    <t>Nominador para ponderação do VEC</t>
  </si>
  <si>
    <t>Denominador para ponderação do VEC</t>
  </si>
  <si>
    <t>Combustível (CMB)</t>
  </si>
  <si>
    <t>ARLA 32 (CAR)</t>
  </si>
  <si>
    <t>Rodagem (CRD)</t>
  </si>
  <si>
    <t>Peças e Acessórios (CPA)</t>
  </si>
  <si>
    <t>Consumo total / mês</t>
  </si>
  <si>
    <t>Entrada de dados</t>
  </si>
  <si>
    <t>Resultado</t>
  </si>
  <si>
    <t>Legenda</t>
  </si>
  <si>
    <t>Custo da recapagem por estrato da frota</t>
  </si>
  <si>
    <r>
      <t>Custo da recapagem (REC</t>
    </r>
    <r>
      <rPr>
        <b/>
        <sz val="10"/>
        <color indexed="9"/>
        <rFont val="Calibri"/>
        <family val="2"/>
      </rPr>
      <t>z</t>
    </r>
    <r>
      <rPr>
        <b/>
        <sz val="11"/>
        <color indexed="9"/>
        <rFont val="Calibri"/>
        <family val="2"/>
      </rPr>
      <t>)</t>
    </r>
  </si>
  <si>
    <t>pneus</t>
  </si>
  <si>
    <t>Custo do pneu novo por estrato da frota</t>
  </si>
  <si>
    <t>Custo de pneus (PNUz)</t>
  </si>
  <si>
    <t>Custo de rodagem por estrato da frota</t>
  </si>
  <si>
    <t>Custo da rodagem (CRD)</t>
  </si>
  <si>
    <r>
      <t>Número de recapagens (</t>
    </r>
    <r>
      <rPr>
        <b/>
        <sz val="11"/>
        <color indexed="9"/>
        <rFont val="Calibri"/>
        <family val="2"/>
      </rPr>
      <t>β</t>
    </r>
    <r>
      <rPr>
        <b/>
        <sz val="11"/>
        <color indexed="9"/>
        <rFont val="Calibri"/>
        <family val="2"/>
      </rPr>
      <t>)</t>
    </r>
  </si>
  <si>
    <t>Entrada de dados com valor de referência</t>
  </si>
  <si>
    <r>
      <t xml:space="preserve">PNUz </t>
    </r>
    <r>
      <rPr>
        <b/>
        <sz val="8"/>
        <color indexed="9"/>
        <rFont val="Calibri"/>
        <family val="2"/>
      </rPr>
      <t>Mínimo</t>
    </r>
  </si>
  <si>
    <r>
      <rPr>
        <b/>
        <sz val="11"/>
        <color indexed="9"/>
        <rFont val="Calibri"/>
        <family val="2"/>
      </rPr>
      <t>PNUz</t>
    </r>
    <r>
      <rPr>
        <b/>
        <sz val="9"/>
        <color indexed="9"/>
        <rFont val="Calibri"/>
        <family val="2"/>
      </rPr>
      <t xml:space="preserve"> </t>
    </r>
    <r>
      <rPr>
        <b/>
        <sz val="8"/>
        <color indexed="9"/>
        <rFont val="Calibri"/>
        <family val="2"/>
      </rPr>
      <t>Máximo</t>
    </r>
  </si>
  <si>
    <r>
      <t>Vida útil rodagem (PNU</t>
    </r>
    <r>
      <rPr>
        <b/>
        <sz val="9"/>
        <color indexed="9"/>
        <rFont val="Calibri"/>
        <family val="2"/>
      </rPr>
      <t>z</t>
    </r>
    <r>
      <rPr>
        <b/>
        <sz val="11"/>
        <color indexed="9"/>
        <rFont val="Calibri"/>
        <family val="2"/>
      </rPr>
      <t>)</t>
    </r>
  </si>
  <si>
    <t>Depreciação (CDP)</t>
  </si>
  <si>
    <t>Despesas administrativas (CAD)</t>
  </si>
  <si>
    <t>Locação dos equipamentos e sistemas de bilhetagem e ITS (CLQ)</t>
  </si>
  <si>
    <t>Locação de garagem (CLG)</t>
  </si>
  <si>
    <t>Veículos (DVE)</t>
  </si>
  <si>
    <t>Edificações e equipamentos de garagem (DED)</t>
  </si>
  <si>
    <t>Equipamentos de bilhetagem e ITS (DEQ)</t>
  </si>
  <si>
    <t>Veículos de apoio (DVA)</t>
  </si>
  <si>
    <t>Infraestrutura (DIN)</t>
  </si>
  <si>
    <t>Veículos (RVE)</t>
  </si>
  <si>
    <t>Terrenos, edificações e equipamentos de garagem (RTE)</t>
  </si>
  <si>
    <t>Almoxarifado (RAL)</t>
  </si>
  <si>
    <t>Equipamentos de bilhetagem e ITS (REQ)</t>
  </si>
  <si>
    <t>Veículos de apoio (RVA)</t>
  </si>
  <si>
    <t>Infraestrutura (RIN)</t>
  </si>
  <si>
    <t>Operação (DOP)</t>
  </si>
  <si>
    <t>Pessoal de manutenção, administrativo e diretoria (DMA)</t>
  </si>
  <si>
    <t>Despesas gerais (CDG)</t>
  </si>
  <si>
    <t>Seguro obrigatório e taxa de licenciamento (CDS)</t>
  </si>
  <si>
    <t>Seguro de responsabilidade civil facultativo (CDR)</t>
  </si>
  <si>
    <t>IPVA</t>
  </si>
  <si>
    <t>Classe</t>
  </si>
  <si>
    <t>Idade do veículo</t>
  </si>
  <si>
    <t>Valores de referência para vida útil e valor residual por tipo de veículo</t>
  </si>
  <si>
    <t>Vida Útil (Anos)</t>
  </si>
  <si>
    <t>Valor Residual (%)</t>
  </si>
  <si>
    <t>-</t>
  </si>
  <si>
    <t>&gt;</t>
  </si>
  <si>
    <t>Faixa etária (t) anos</t>
  </si>
  <si>
    <t>Microônibus e Miniônibus</t>
  </si>
  <si>
    <t>Midiônibus e Básico</t>
  </si>
  <si>
    <t xml:space="preserve">Microônibus </t>
  </si>
  <si>
    <t>Número de veículos por classe e idade</t>
  </si>
  <si>
    <t>λz</t>
  </si>
  <si>
    <t>DVE</t>
  </si>
  <si>
    <t>Depreciação dos veículos</t>
  </si>
  <si>
    <t>Depreciação dos veículos - etapa de cálculo</t>
  </si>
  <si>
    <r>
      <t>Fatores mensais de depreciação de veículos (λ</t>
    </r>
    <r>
      <rPr>
        <b/>
        <i/>
        <sz val="8"/>
        <rFont val="Calibri"/>
        <family val="2"/>
      </rPr>
      <t>z</t>
    </r>
    <r>
      <rPr>
        <b/>
        <i/>
        <sz val="11"/>
        <rFont val="Calibri"/>
        <family val="2"/>
      </rPr>
      <t>^[t])</t>
    </r>
  </si>
  <si>
    <t>Valores de referência para vida útil e valor residual das edificações e equipamentos de garagem</t>
  </si>
  <si>
    <t>Equipamentos de garagem</t>
  </si>
  <si>
    <t>ϖ=</t>
  </si>
  <si>
    <t>τ=</t>
  </si>
  <si>
    <t>χ=</t>
  </si>
  <si>
    <t>Equip. Bilhetagem e ITS</t>
  </si>
  <si>
    <t>Veículos de apoio</t>
  </si>
  <si>
    <t xml:space="preserve">Edificações </t>
  </si>
  <si>
    <t>Infraestrutura</t>
  </si>
  <si>
    <t>anos</t>
  </si>
  <si>
    <t>RVE</t>
  </si>
  <si>
    <t>Remuneração dos veículos - etapa de cálculo</t>
  </si>
  <si>
    <t>Capital investido em terrenos, edificações e equipamentos de garagem</t>
  </si>
  <si>
    <t>Coeficientes de remuneração do capital</t>
  </si>
  <si>
    <t>Coeficiente</t>
  </si>
  <si>
    <t xml:space="preserve">Valor </t>
  </si>
  <si>
    <t>ε</t>
  </si>
  <si>
    <t>η</t>
  </si>
  <si>
    <t>RTE =</t>
  </si>
  <si>
    <t>Taxas e Seguros</t>
  </si>
  <si>
    <t>R$/ano</t>
  </si>
  <si>
    <t>R$/mês</t>
  </si>
  <si>
    <t>Serviços de terceiros, compartilhados e locações</t>
  </si>
  <si>
    <t>R$/veículo/ano</t>
  </si>
  <si>
    <t>unidades</t>
  </si>
  <si>
    <r>
      <t>Quant. viagens prog. p/ linhas de ônibus "</t>
    </r>
    <r>
      <rPr>
        <b/>
        <i/>
        <sz val="10"/>
        <color indexed="9"/>
        <rFont val="Calibri"/>
        <family val="2"/>
      </rPr>
      <t>l</t>
    </r>
    <r>
      <rPr>
        <b/>
        <sz val="10"/>
        <color indexed="9"/>
        <rFont val="Calibri"/>
        <family val="2"/>
      </rPr>
      <t>" em um tipo de dia de operação "</t>
    </r>
    <r>
      <rPr>
        <b/>
        <i/>
        <sz val="10"/>
        <color indexed="9"/>
        <rFont val="Calibri"/>
        <family val="2"/>
      </rPr>
      <t>k</t>
    </r>
    <r>
      <rPr>
        <b/>
        <sz val="10"/>
        <color indexed="9"/>
        <rFont val="Calibri"/>
        <family val="2"/>
      </rPr>
      <t xml:space="preserve">" (KV[k]l) </t>
    </r>
  </si>
  <si>
    <r>
      <t>km prog. p/ linha de ônibus "</t>
    </r>
    <r>
      <rPr>
        <b/>
        <i/>
        <sz val="10"/>
        <color indexed="9"/>
        <rFont val="Calibri"/>
        <family val="2"/>
      </rPr>
      <t>l"</t>
    </r>
    <r>
      <rPr>
        <b/>
        <sz val="10"/>
        <color indexed="9"/>
        <rFont val="Calibri"/>
        <family val="2"/>
      </rPr>
      <t xml:space="preserve"> em um tipo de dia de operação "</t>
    </r>
    <r>
      <rPr>
        <b/>
        <i/>
        <sz val="10"/>
        <color indexed="9"/>
        <rFont val="Calibri"/>
        <family val="2"/>
      </rPr>
      <t>k"</t>
    </r>
    <r>
      <rPr>
        <b/>
        <sz val="10"/>
        <color indexed="9"/>
        <rFont val="Calibri"/>
        <family val="2"/>
      </rPr>
      <t xml:space="preserve"> (KL[k]l) </t>
    </r>
  </si>
  <si>
    <t>Unidade: dias</t>
  </si>
  <si>
    <t>Unidade: viagens</t>
  </si>
  <si>
    <t>Unidade: km</t>
  </si>
  <si>
    <t>Preço do óleo diesel .....................................................</t>
  </si>
  <si>
    <t>Coeficiente de correlação do consumo de lubrificante relacionado ao consumo de óleo diesel ..........................</t>
  </si>
  <si>
    <t>Preço do Arla 32 ..........................................................</t>
  </si>
  <si>
    <t>Coeficiente de correlação do consumo do ARLA 32 relacionado ao preço do óleo diesel ...............................</t>
  </si>
  <si>
    <t>215/75 R17,6 ..............................</t>
  </si>
  <si>
    <t>275/80 R22,6 ..............................</t>
  </si>
  <si>
    <t>295/80 R22,6 ..............................</t>
  </si>
  <si>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</si>
  <si>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</si>
  <si>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</si>
  <si>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</si>
  <si>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</si>
  <si>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</si>
  <si>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</si>
  <si>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</si>
  <si>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Custos de investimento no terreno (CIT) .........................</t>
  </si>
  <si>
    <t>Valor investido em edificações (CIE) ..............................</t>
  </si>
  <si>
    <t>Valor investido em equipamentos de garagem (CIG) ........</t>
  </si>
  <si>
    <t>Valor anual da locação por equipamento locado por veículo (QL) .................................................................</t>
  </si>
  <si>
    <t>Valor anual da locação de cada conjunto de equipamentos (QEL)......................................................</t>
  </si>
  <si>
    <t>Quantidade de conjuntos de equipamentos locados (QEQ) .........................................................................</t>
  </si>
  <si>
    <t>Locação de garagem (CLG) ...........................................</t>
  </si>
  <si>
    <t>Despesas de Comercialização, serviços prestados em terminais/estações de transferência e centrais de controle da operação (CCM) .......................................................</t>
  </si>
  <si>
    <t>Custo Variável</t>
  </si>
  <si>
    <t>Custo Fixo</t>
  </si>
  <si>
    <t>Remuneração da prestação dos serviços (RPS)</t>
  </si>
  <si>
    <t>Imposto sobre serviços de qualquer natureza (ISSQN) ....</t>
  </si>
  <si>
    <t>Programa de integração social (PIS) ..............................</t>
  </si>
  <si>
    <t>Taxa de ger. e adm. do sistema de transp. ou taxa de regulação do serviço e taxa de adm. de terminais ...........</t>
  </si>
  <si>
    <t>Contribuição para o financiamento da seguridade social (COFINS) ....................................................................</t>
  </si>
  <si>
    <t>INSS ...........................................................................</t>
  </si>
  <si>
    <t>ICMS ...........................................................................</t>
  </si>
  <si>
    <t>Outros tributos .............................................................</t>
  </si>
  <si>
    <t>Cálculo do custo total mensal com impostos e tributos (CT)</t>
  </si>
  <si>
    <t>Detalhado:</t>
  </si>
  <si>
    <t>Consolidado mensal:</t>
  </si>
  <si>
    <t>Deseja informar dados de modo (marcar X):</t>
  </si>
  <si>
    <t>Quilometragem programada média mensal do sistema (consolidada):</t>
  </si>
  <si>
    <t>Custo total</t>
  </si>
  <si>
    <t>Passageiros pagantes</t>
  </si>
  <si>
    <t>Consumo do Arla 32</t>
  </si>
  <si>
    <t>Valores de referência para Consumo do Arla 32 em ônibus</t>
  </si>
  <si>
    <t>Consumo de Peças e Acessórios</t>
  </si>
  <si>
    <t>Valores de referência para custos ambientais</t>
  </si>
  <si>
    <t>Custos ambientais</t>
  </si>
  <si>
    <t>Média mensal de passageiros pagantes</t>
  </si>
  <si>
    <t>Média mensal consolidada:</t>
  </si>
  <si>
    <r>
      <t>Valor do veículo novo por classe de veículo (VEC</t>
    </r>
    <r>
      <rPr>
        <b/>
        <i/>
        <sz val="8"/>
        <rFont val="Calibri"/>
        <family val="2"/>
      </rPr>
      <t>z</t>
    </r>
    <r>
      <rPr>
        <b/>
        <i/>
        <sz val="11"/>
        <rFont val="Calibri"/>
        <family val="2"/>
      </rPr>
      <t>)</t>
    </r>
  </si>
  <si>
    <t>VEC</t>
  </si>
  <si>
    <r>
      <t>VEC</t>
    </r>
    <r>
      <rPr>
        <b/>
        <sz val="11"/>
        <color indexed="9"/>
        <rFont val="Calibri"/>
        <family val="2"/>
      </rPr>
      <t>[básico]</t>
    </r>
  </si>
  <si>
    <t>Valor do veículo novo por classe de veículo sem rodagem (VECz[Ø])</t>
  </si>
  <si>
    <t>Tarifa pública de preponderante vigente (TPU)</t>
  </si>
  <si>
    <t>litro/km</t>
  </si>
  <si>
    <t>coeficiente de correlação do consumo de lubrificante relacionado ao consumo do óleo diesel</t>
  </si>
  <si>
    <t xml:space="preserve"> l/km</t>
  </si>
  <si>
    <t>Perecentual de referência inclidente sobre despesas DMA</t>
  </si>
  <si>
    <t>Faixa</t>
  </si>
  <si>
    <t>(%)</t>
  </si>
  <si>
    <t>10 a 22</t>
  </si>
  <si>
    <t>23 a 45</t>
  </si>
  <si>
    <t>46 a 78</t>
  </si>
  <si>
    <t>79 a 121</t>
  </si>
  <si>
    <t>Frota</t>
  </si>
  <si>
    <t>122 a 174</t>
  </si>
  <si>
    <t>Preço médio ônibus básico novo .........................</t>
  </si>
  <si>
    <t>r</t>
  </si>
  <si>
    <t>Vida Útil das Edificações (VUE)</t>
  </si>
  <si>
    <t>Vida Útil dos equipamentos de garagem (VUQ)</t>
  </si>
  <si>
    <t>Fator de correlação entre os custos ambientais e o preço médio do ônibus básico novo ...............................</t>
  </si>
  <si>
    <t>x-a.</t>
  </si>
  <si>
    <t>Fator de remuneração dos equipamentos de bilhetagem e ITS</t>
  </si>
  <si>
    <t>FRE</t>
  </si>
  <si>
    <t>dados de entrada</t>
  </si>
  <si>
    <t>x-b.</t>
  </si>
  <si>
    <t>FRV</t>
  </si>
  <si>
    <t>FRI</t>
  </si>
  <si>
    <t>VUI</t>
  </si>
  <si>
    <t>TRI</t>
  </si>
  <si>
    <t>j</t>
  </si>
  <si>
    <t>médio</t>
  </si>
  <si>
    <r>
      <rPr>
        <b/>
        <sz val="12"/>
        <color indexed="9"/>
        <rFont val="Calibri"/>
        <family val="2"/>
      </rPr>
      <t>θ</t>
    </r>
    <r>
      <rPr>
        <b/>
        <i/>
        <sz val="12"/>
        <color indexed="9"/>
        <rFont val="Times New Roman"/>
        <family val="1"/>
      </rPr>
      <t>min</t>
    </r>
  </si>
  <si>
    <r>
      <rPr>
        <b/>
        <sz val="12"/>
        <color indexed="9"/>
        <rFont val="Calibri"/>
        <family val="2"/>
      </rPr>
      <t>θ</t>
    </r>
    <r>
      <rPr>
        <b/>
        <i/>
        <sz val="12"/>
        <color indexed="9"/>
        <rFont val="Times New Roman"/>
        <family val="1"/>
      </rPr>
      <t>max</t>
    </r>
  </si>
  <si>
    <t>Taxa de Remuneração do Capital (TRC)</t>
  </si>
  <si>
    <t>κz [t]</t>
  </si>
  <si>
    <t>XV</t>
  </si>
  <si>
    <t>Cálculo Simplificado do Coeficiente da Remuneração da Prestação de Serviço (RPS)</t>
  </si>
  <si>
    <t>Risco</t>
  </si>
  <si>
    <t>Baixo</t>
  </si>
  <si>
    <t>Médio</t>
  </si>
  <si>
    <t>Alto</t>
  </si>
  <si>
    <t>Gama</t>
  </si>
  <si>
    <t>Nível de Segurança 95%</t>
  </si>
  <si>
    <t>Nível de Segurança 90%</t>
  </si>
  <si>
    <t>Nível de Segurança 85%</t>
  </si>
  <si>
    <t>XV-a</t>
  </si>
  <si>
    <t>Nível de Segurança a ser adotado (NS)</t>
  </si>
  <si>
    <t>Baixo Risco</t>
  </si>
  <si>
    <t>valores de referência de acordo com o nível de segurança adotado</t>
  </si>
  <si>
    <t>XV-b.</t>
  </si>
  <si>
    <t>Coeficiente de Risco a ser assumido no projeto (Ri)</t>
  </si>
  <si>
    <t>Ri</t>
  </si>
  <si>
    <t>XV-c</t>
  </si>
  <si>
    <t>Coeficiente do RPS (Ɣ)</t>
  </si>
  <si>
    <t>Ɣ</t>
  </si>
  <si>
    <t>Cálculo Detalhado do Coeficiente da Remuneração da Prestação de Serviço (RPS)</t>
  </si>
  <si>
    <t>XV-d</t>
  </si>
  <si>
    <t>Dimensão</t>
  </si>
  <si>
    <t>Impacto sobre a equação financeira</t>
  </si>
  <si>
    <t>Situações em Que não se Aplica</t>
  </si>
  <si>
    <t>Risco Médio</t>
  </si>
  <si>
    <t>ATRIBUIÇÃO</t>
  </si>
  <si>
    <t>Implantação de Veículos e Sistemas</t>
  </si>
  <si>
    <t>Elevação de preços e/ou prazos de implantação dos ativos por mudanças nos parâmetros de preços praticados ou escassez de insumos no mercado.</t>
  </si>
  <si>
    <t>Investimentos acima do previsto com período de implantação mais longo do que o planejado podem implicar em postergação e redução de receita ou aplicação de sanções previstas em contrato .</t>
  </si>
  <si>
    <t>Projetos consolidados, em que a tarifa seja calculada para o período subsequente.</t>
  </si>
  <si>
    <t>Novos projetos que envolvam apenas a operação de serviços (movimentação de passageiros). 
Risco centrado na aquisição de ativos imobiliários para implantação de garagem alinhada a estrutura de custos e operação preconizada.</t>
  </si>
  <si>
    <t>Novos projetos que envolvam serviços complementares, tais como a operação de terminais e outros</t>
  </si>
  <si>
    <t>Novos projetos de alta complexidade, que envolvam a execução de obras, implantação de sistemas complexos e a operação e manutenção de múltiplos serviços</t>
  </si>
  <si>
    <t>Dificuldades de implantação e integração dos elementos tecnológicos da concessão</t>
  </si>
  <si>
    <t>Maiores custos com a integração de sistemas. No limite dos casos, necessidade de repactuação contratual de componentes impossíveis de serem integrados. Possíveis atrasos para o início da operação.</t>
  </si>
  <si>
    <t>Tecnologias conhecidas, comprovadas, testadas, com fornecedores conhecidos e capacitados.</t>
  </si>
  <si>
    <t xml:space="preserve">Tecnologia em implementação em poucos locais, com fornecedores trabalhando sobre o desenvolvimento de projetos, produtos e processos. </t>
  </si>
  <si>
    <t>Projetos que contemplem rupturas tecnológicas, com elevado nível de inovação previsto sobre o status corrente.</t>
  </si>
  <si>
    <t>Projetos que não dependam da alteração da infraestrutura física ou de condições operacionais (a exemplo da velocidade vigente) para atendimento aos resultados previstos.
Situação urbana consolidada, sem perspectiva de degradação</t>
  </si>
  <si>
    <t>Projetos que não dependam da alteração da infraestrutura física ou de condições operacionais (a exemplo da velocidade vigente) para atendimento aos resultados previstos.
Situação urbana apresentando piora nas condições de tráfego.</t>
  </si>
  <si>
    <t>Projetos que dependam de melhoras operacionais para que os resultados técnicos e financeiros previstos sejam atingidos</t>
  </si>
  <si>
    <t>Projetos que dependam da implantação de terminais, corredores, infraestrutura ou outros elementos para que o resultado planejado seja atingido</t>
  </si>
  <si>
    <t>Regulamentação
Ambiental</t>
  </si>
  <si>
    <t>Necessidade de ampliação de investimentos e prazo para atendimento às condições ambientais pré-estabelecidas</t>
  </si>
  <si>
    <t>Renovação de contratos ou recálculo da tarifa vigente, sem alteração relevante nas condições ambientais previstas.</t>
  </si>
  <si>
    <t>Projetos que apresentem exigência de certificação ambiental para todos os bens móveis e imóveis da empresa operadora</t>
  </si>
  <si>
    <t>Riscos ambientais incorridos na fase de operação dos serviços.</t>
  </si>
  <si>
    <t>Necessidade de investimentos complementares em frota, sistemas e obras civis para atendimento a mudanças na norma ambiental. Aumento dos custos operacionais ou diminuição da produtividade dos veículos.</t>
  </si>
  <si>
    <t>Tarifa calculada para um prazo de tempo relativamente reduzido. Caso ocorram alterações no marco regulatório dentro do horizonte de tempo, a empresa operadora somente necessitará adequar-se após a revisão tarifária seguinte.</t>
  </si>
  <si>
    <t>Projetos que prevejam a repactuação das condições financeiras iniciais em processo extraordinário a partir da ocorrência de fato de príncipe.</t>
  </si>
  <si>
    <t>Projetos que não apresentem clareza na condição contratual poderão ensejar litígio acerca da responsabilidade por arcar com os sobrecustos apontados.</t>
  </si>
  <si>
    <t>Projetos em que não exista previsão contratual delimitando a responsabilidade privada sobre alterações relevantes do marco regulatório.</t>
  </si>
  <si>
    <t>Projetos integralmente remunerados com base em custo (ponderação entre frota disponibilizada e km percorrida), em que a demanda não influencie a remuneração da empresa operadora.</t>
  </si>
  <si>
    <t>Projetos em que a remuneração da empresa operadora esteja vinculada à demanda total transportada (não apenas à demanda equivalente) ou que prevejam o ressarcimento por usuários gratuitos.</t>
  </si>
  <si>
    <t>Projetos com remuneração baseada exclusivamente em usuários equivalentes, em que a previsão de ressarcimento de novas gratuidades seja prevista de forma explícita e garantida.</t>
  </si>
  <si>
    <t>Projetos que não façam referência explícita a esta questão.</t>
  </si>
  <si>
    <t>Redução da demanda da empresa operadora, com correspondente perda de receita tarifária.</t>
  </si>
  <si>
    <t>Projetos remunerados pela tarifa equivalente em sistemas maduros de transporte.</t>
  </si>
  <si>
    <t>Projetos em fase de implantação ou consolidação de uma rede integrada, com remuneração baseada em usuários equivalentes.</t>
  </si>
  <si>
    <t>Perda de Receita: Atos do Poder Público</t>
  </si>
  <si>
    <t>Atrasos no reajuste da tarifa.</t>
  </si>
  <si>
    <t>Constrição financeira da empresa concessionária, que poderá resultar em (i) necessidade de contratação de novos financiamentos pela iniciativa privada com custos progressivos (percepção do aumento do risco sistêmico do projeto; (ii) Inadimplemento das obrigações financeiras, levando à paralização dos serviços e (iii) antecipação da terminação contratual.</t>
  </si>
  <si>
    <t>Previsão contratual de sanções para o Poder Concedente por inadimplemento de obrigações contratuais.</t>
  </si>
  <si>
    <t>Inexistência de mecanismos de sanção formal do Poder Público por inadimplemento de obrigações contratuais.</t>
  </si>
  <si>
    <t>Inadimplemento do Poder Concedente com relação ao complemento da arrecadação tarifária, em decorrência de problemas fiscais próprios ou aumento da necessidade de recursos públicos por descasamento entre o direito de recebimento da operadora e a arrecadação do sistema por diferentes razões: (1) Reajuste do valor da tarifa de usuário inferior ao contratualmente estabelecido para a remuneração da empresa operadora (2) Revisão da Tarifa de Remuneração por desequilíbrio econômico financeiro do Contrato. 
Caso o Poder Concedente não conte com recursos para a cobertura da diferença entre o valor tarifário arrecadado e o valor de remuneração devido para a empresa, a empresa operadora enfrentará constrição de caixa para honrar suas despesas correntes.</t>
  </si>
  <si>
    <t>Redução da remuneração de curto prazo da empresa operadora gera a necessidade de financiamento do déficit de caixa. Quebra contratual eleva a percepção de risco da empresa concessionária pelo mercado financeiro, resultando em um aumento imediato do custo de financiamento para a cobertura do déficit de arrecadação. Caso o inadimplemento perdure por prazo relevante a empresa operadora poderá falir.</t>
  </si>
  <si>
    <t>Projetos que não dependam de recursos públicos em qualquer medida.</t>
  </si>
  <si>
    <t>Atrasos no repasse de recursos ou insuficiência de recursos na câmara de compensação podem resultar nas situações de constrição financeira acima descritas.</t>
  </si>
  <si>
    <t>Projetos com câmara de compensação independente, gerenciada por ente financeiro especializado com garantias firmes de pagamento.</t>
  </si>
  <si>
    <t>Projetos com câmara de compensação dependente, gerenciada por órgão público.</t>
  </si>
  <si>
    <t>Projetos com parcela expressiva da receita oriunda de repasses da câmara de compensação e gestão subordinada à operação da rede de transportes.</t>
  </si>
  <si>
    <t>Dificuldades de Operação dos serviços</t>
  </si>
  <si>
    <t>Acidentes que envolvam usuários e/ou funcionários da concessionária</t>
  </si>
  <si>
    <t>Desembolsos com os custos associados à ocorrência de acidentes, principalmente que envolvam pessoas, não são parte prevista no plano de custos da empresa operadora, mas possuem elevada probabilidade de ocorrência no longo prazo. Seguros representam uma proteção limitada ao potencial total de perdas.</t>
  </si>
  <si>
    <t>Não há distinção entre contratos pela natureza aleatória das ocorrências e características do setor. Eventuais distinções devem se referir às probabilidades locais de ocorrência de incidentes. Contudo, tais estatísticas são raras e de difícil introdução no modelo. Consideração do valor homogêneo de perda  baseado em estatísticas gerais do setor.</t>
  </si>
  <si>
    <t>Novos padrões técnicos e operacionais impostos para a empresa operadora.</t>
  </si>
  <si>
    <t>Necessidade de ampliação da capacidade de transporte, sem qualquer contraparte nas receitas esperadas. Sobrecustos na forma de investimentos e custos operacionais.</t>
  </si>
  <si>
    <t>Estrutura contratual que preveja a avaliação do impacto financeiro de novas obrigações contratuais antes de sua implementação, com tempestiva recomposição das condições contratadas.</t>
  </si>
  <si>
    <t>Contratos que lancem o tema para o processo de revisão ordinária</t>
  </si>
  <si>
    <t>Contratos sem previsão de mecanismos de recomposição de equilíbrio.</t>
  </si>
  <si>
    <t>Atos de desordem civil resultam na vandalização de veículos e impedimento à operação.</t>
  </si>
  <si>
    <t>Sobrecustos com investimentos em veículos, garagens e outros ativos operacionais. Perdas de receitas.
Não há seguros patrimoniais para estas perdas e os custos usualmente não são previstos em contrato.</t>
  </si>
  <si>
    <t>Contratos em que exista a previsão de reequilíbrio contratual imediato pelas perdas incorridas pela empresa operaora em casos de atos de desordem civil.</t>
  </si>
  <si>
    <t>Contratos em que exista a previsão de reequilíbrio contratual em períodos ordinários pelas perdas incorridas pela empresa operaora em casos de atos de desordem civil.</t>
  </si>
  <si>
    <t>Contratos em que a previsão de recomposição do equilíbrio não sejam expressas tornam a alocação deste risco exclusiva da empresa operadora.</t>
  </si>
  <si>
    <t>Questões 
Trabalhistas</t>
  </si>
  <si>
    <t>Aumento do custeio operacional da empresa operadora.</t>
  </si>
  <si>
    <t>Projetos onde o reajuste tarifário incorpore completamente o reajuste do valor de salários, seja por planilha, seja por fórmula paramétrica, de forma antecipada ao reajuste tarifário.</t>
  </si>
  <si>
    <t>Projetos onde o reajuste tarifário incorpore completamente o reajuste do valor de salários pretérito, seja por planilha, seja por fórmula paramétrica.</t>
  </si>
  <si>
    <t>Projetos onde o reajuste salarial seja compensado somente de forma parcial no reajuste da tarifa ou que atribua a diferença entre reajustes ao processo de recomposição de equilíbrio financeiro em revisão ordinária</t>
  </si>
  <si>
    <t>Projetos em que o reajuste tarifário se faz de forma dissociada dos custos da empresa .</t>
  </si>
  <si>
    <t>Greves resultam na paralização total ou parcial dos serviços.</t>
  </si>
  <si>
    <t>Deficiência operacional e reflexos financeiros pelo período de paralização sem que exista a possibilidade de cobrança de performance da empresa privada.</t>
  </si>
  <si>
    <t>Não há distinção entre contratos pela natureza setorial de ocorrências. Em tese, todos os contratos estão sujeitos à ocorrência deste perfil de questão.</t>
  </si>
  <si>
    <t>Inexistência de previsão contratual atribui a assunção integral deste risco à empresa concessionária.</t>
  </si>
  <si>
    <t>Ambiente
Macroeconômico</t>
  </si>
  <si>
    <t>Alterações significativas nas condições de financiamento de veículos, afetando a capacidade de investimento da empresa operadora.</t>
  </si>
  <si>
    <t>Risco de sobrecustos financeiros da concessionária, podendo inviabilizar a concessão ou provocar impactos adicionais sobre as condições de financiabilidade de novos projetos.</t>
  </si>
  <si>
    <t>Contemplar variações com o custo de capital na fórmula de reajuste (paramétrico) da tarifa.</t>
  </si>
  <si>
    <t>Determinar contratualmente que situações de constrição poderão ensejar reequilíbrio econômico financeiro do contrato, por exemplo, por meio de revisão das obrigações de investir ou renovar frota.</t>
  </si>
  <si>
    <t>Não se Aplica</t>
  </si>
  <si>
    <t>Gratuidades</t>
  </si>
  <si>
    <t>XV-e</t>
  </si>
  <si>
    <t>Cálculo dos riscos</t>
  </si>
  <si>
    <t>Incidência</t>
  </si>
  <si>
    <t>Impacto de Evento a 5%</t>
  </si>
  <si>
    <t>Desvio Padrão</t>
  </si>
  <si>
    <t>Variância</t>
  </si>
  <si>
    <t>Nível de Segurança</t>
  </si>
  <si>
    <t>Risco adotado (%)</t>
  </si>
  <si>
    <t>XV-f</t>
  </si>
  <si>
    <t xml:space="preserve">Definição do Nível de Segurança </t>
  </si>
  <si>
    <t xml:space="preserve">Taxa de remuneração do serviço (RPS) </t>
  </si>
  <si>
    <t>Taxa de remuneração do serviço (RPS)  ......................</t>
  </si>
  <si>
    <t>DESCRIÇÃO</t>
  </si>
  <si>
    <t>VALOR MENSAL</t>
  </si>
  <si>
    <t>CUSTO/KM</t>
  </si>
  <si>
    <t>CUSTO/VEÍCULO</t>
  </si>
  <si>
    <t>REMUNERAÇÃO PELA PRESTAÇÃO DE SERVIÇO (RPS)</t>
  </si>
  <si>
    <t>ISSQN........................................................................................................................................................................................................................................................................</t>
  </si>
  <si>
    <t>x</t>
  </si>
  <si>
    <t>subtotal</t>
  </si>
  <si>
    <t>Deseja calcular o coeficiente de remuneração da prestação de serviço (marcar X):</t>
  </si>
  <si>
    <t>Metodologia simplificada</t>
  </si>
  <si>
    <t>Metodologia detalhada</t>
  </si>
  <si>
    <t>(ir para o item XV.a)</t>
  </si>
  <si>
    <t>(ir para o item XV.d)</t>
  </si>
  <si>
    <t xml:space="preserve">μ </t>
  </si>
  <si>
    <t>5 a 6 anos</t>
  </si>
  <si>
    <t>acima de 10 anos</t>
  </si>
  <si>
    <t>Valor Residual das Edificações (VRE)</t>
  </si>
  <si>
    <t>Classificação do veículo</t>
  </si>
  <si>
    <t>Caminhão-oficina</t>
  </si>
  <si>
    <t>Caminhão-guincho</t>
  </si>
  <si>
    <t>Caminhoneta</t>
  </si>
  <si>
    <t>Automóvel (básico)</t>
  </si>
  <si>
    <t>Motocicleta</t>
  </si>
  <si>
    <t>Valor do veículo</t>
  </si>
  <si>
    <t>Valores de referência para vida útil e valor residual dos veículos de apoio</t>
  </si>
  <si>
    <t xml:space="preserve">Valor Residual </t>
  </si>
  <si>
    <t>meses</t>
  </si>
  <si>
    <t>Salário do Fiscal (SAL fisc) .................................</t>
  </si>
  <si>
    <t>Fator de utilização físico dos Fiscais (FUF fisc)...............</t>
  </si>
  <si>
    <t>Fator de utilização dos Fiscais (FUT fisc).......................</t>
  </si>
  <si>
    <t>Benefícios do Fiscal (BEN fisc) ...........................</t>
  </si>
  <si>
    <t>Valor do investimento (veículos de apoio )</t>
  </si>
  <si>
    <t>Jornada de Trabalho Comumente Utilizadas</t>
  </si>
  <si>
    <t>Duração Equivalente da Operação - Dia útil</t>
  </si>
  <si>
    <t xml:space="preserve">Tabela de referência para o cálculo do Fator de Utilização </t>
  </si>
  <si>
    <t>Matriz de Riscos e Atribuições</t>
  </si>
  <si>
    <t>Outras despesas</t>
  </si>
  <si>
    <t>Despesas médicas obrigatórias</t>
  </si>
  <si>
    <t>Total de Material de consumo</t>
  </si>
  <si>
    <t>Total de Serviços públicos</t>
  </si>
  <si>
    <t>Total de Serviço de comunicação</t>
  </si>
  <si>
    <t>Total de Serviço terceirizados</t>
  </si>
  <si>
    <t>Material de limpeza.....................................................................</t>
  </si>
  <si>
    <t>Material de escritório...............................................................................</t>
  </si>
  <si>
    <t>Material de consumo de informática............................................................</t>
  </si>
  <si>
    <t>Material de manutenção predial......................................................</t>
  </si>
  <si>
    <t>Água e esgoto......................................................................</t>
  </si>
  <si>
    <t>Energia elétrica................................................................................</t>
  </si>
  <si>
    <t>Correios...........................................................................</t>
  </si>
  <si>
    <t>Telefone................................................................................</t>
  </si>
  <si>
    <t>Rádio........................................................................................</t>
  </si>
  <si>
    <t>Internet...............................................................................</t>
  </si>
  <si>
    <r>
      <t>Equipamento de segurança</t>
    </r>
    <r>
      <rPr>
        <sz val="10"/>
        <rFont val="Arial"/>
        <family val="2"/>
      </rPr>
      <t>................................................................</t>
    </r>
  </si>
  <si>
    <r>
      <rPr>
        <b/>
        <sz val="10"/>
        <rFont val="Arial"/>
        <family val="2"/>
      </rPr>
      <t>Frete e carretos</t>
    </r>
    <r>
      <rPr>
        <sz val="10"/>
        <rFont val="Arial"/>
        <family val="2"/>
      </rPr>
      <t>...................................................................</t>
    </r>
  </si>
  <si>
    <r>
      <rPr>
        <b/>
        <sz val="10"/>
        <rFont val="Arial"/>
        <family val="2"/>
      </rPr>
      <t>Treinamento de pessoal</t>
    </r>
    <r>
      <rPr>
        <sz val="10"/>
        <rFont val="Arial"/>
        <family val="2"/>
      </rPr>
      <t>............................................................................</t>
    </r>
  </si>
  <si>
    <r>
      <rPr>
        <b/>
        <sz val="10"/>
        <rFont val="Arial"/>
        <family val="2"/>
      </rPr>
      <t>Imposto Predial e Territorial Urbano (IPTU)</t>
    </r>
    <r>
      <rPr>
        <sz val="10"/>
        <rFont val="Arial"/>
        <family val="2"/>
      </rPr>
      <t>............................................................................</t>
    </r>
  </si>
  <si>
    <r>
      <rPr>
        <b/>
        <sz val="10"/>
        <rFont val="Arial"/>
        <family val="2"/>
      </rPr>
      <t>Livros e periódicos</t>
    </r>
    <r>
      <rPr>
        <sz val="10"/>
        <rFont val="Arial"/>
        <family val="2"/>
      </rPr>
      <t>..................................................................................</t>
    </r>
  </si>
  <si>
    <r>
      <rPr>
        <b/>
        <sz val="10"/>
        <rFont val="Arial"/>
        <family val="2"/>
      </rPr>
      <t>Transporte de valores nas garagens</t>
    </r>
    <r>
      <rPr>
        <sz val="10"/>
        <rFont val="Arial"/>
        <family val="2"/>
      </rPr>
      <t>.......................................................</t>
    </r>
  </si>
  <si>
    <t>Serviços terceirizados de segurança patrimonial e portaria..........</t>
  </si>
  <si>
    <t>Serviços terceirizados de lavagem de veículos.................................</t>
  </si>
  <si>
    <t>Serviços terceirizados de manutenção predial...........................</t>
  </si>
  <si>
    <t>Serviços terceirizados de despachante admnistrativos.........................</t>
  </si>
  <si>
    <t>Serviços terceirizados na área contábil...................................</t>
  </si>
  <si>
    <t>Serviços terceirizados na área de medicina do trabalho....................</t>
  </si>
  <si>
    <t>Serviços terceirizados na área jurídica..................................</t>
  </si>
  <si>
    <t>Serviços terceirizados na área de informática............................</t>
  </si>
  <si>
    <t>Serviços terceirizados na área de recursos humanos..................</t>
  </si>
  <si>
    <r>
      <rPr>
        <b/>
        <sz val="10"/>
        <rFont val="Arial"/>
        <family val="2"/>
      </rPr>
      <t>Outros</t>
    </r>
    <r>
      <rPr>
        <sz val="10"/>
        <rFont val="Arial"/>
        <family val="2"/>
      </rPr>
      <t>..........................................................................................</t>
    </r>
  </si>
  <si>
    <t>.</t>
  </si>
  <si>
    <t>Despesas gerais (CDG)................................................................................</t>
  </si>
  <si>
    <r>
      <t>TP</t>
    </r>
    <r>
      <rPr>
        <b/>
        <i/>
        <vertAlign val="subscript"/>
        <sz val="11"/>
        <color indexed="8"/>
        <rFont val="Calibri"/>
        <family val="2"/>
      </rPr>
      <t>1</t>
    </r>
  </si>
  <si>
    <r>
      <t>TP</t>
    </r>
    <r>
      <rPr>
        <b/>
        <i/>
        <vertAlign val="subscript"/>
        <sz val="11"/>
        <color indexed="8"/>
        <rFont val="Calibri"/>
        <family val="2"/>
      </rPr>
      <t>2</t>
    </r>
  </si>
  <si>
    <r>
      <t>TP</t>
    </r>
    <r>
      <rPr>
        <b/>
        <i/>
        <vertAlign val="subscript"/>
        <sz val="11"/>
        <color indexed="8"/>
        <rFont val="Calibri"/>
        <family val="2"/>
      </rPr>
      <t>3</t>
    </r>
  </si>
  <si>
    <r>
      <t>TP</t>
    </r>
    <r>
      <rPr>
        <b/>
        <i/>
        <vertAlign val="subscript"/>
        <sz val="11"/>
        <color indexed="8"/>
        <rFont val="Calibri"/>
        <family val="2"/>
      </rPr>
      <t>4</t>
    </r>
  </si>
  <si>
    <r>
      <t>TP</t>
    </r>
    <r>
      <rPr>
        <b/>
        <i/>
        <vertAlign val="subscript"/>
        <sz val="11"/>
        <color indexed="8"/>
        <rFont val="Calibri"/>
        <family val="2"/>
      </rPr>
      <t>5</t>
    </r>
  </si>
  <si>
    <r>
      <t>TP</t>
    </r>
    <r>
      <rPr>
        <b/>
        <i/>
        <vertAlign val="subscript"/>
        <sz val="11"/>
        <color indexed="8"/>
        <rFont val="Calibri"/>
        <family val="2"/>
      </rPr>
      <t>6</t>
    </r>
  </si>
  <si>
    <r>
      <t>TP</t>
    </r>
    <r>
      <rPr>
        <b/>
        <i/>
        <vertAlign val="subscript"/>
        <sz val="11"/>
        <color indexed="8"/>
        <rFont val="Calibri"/>
        <family val="2"/>
      </rPr>
      <t>7</t>
    </r>
  </si>
  <si>
    <r>
      <t>TP</t>
    </r>
    <r>
      <rPr>
        <b/>
        <i/>
        <vertAlign val="subscript"/>
        <sz val="11"/>
        <color indexed="8"/>
        <rFont val="Calibri"/>
        <family val="2"/>
      </rPr>
      <t>8</t>
    </r>
    <r>
      <rPr>
        <sz val="10"/>
        <rFont val="Arial"/>
        <family val="2"/>
      </rPr>
      <t/>
    </r>
  </si>
  <si>
    <r>
      <t>TP</t>
    </r>
    <r>
      <rPr>
        <b/>
        <i/>
        <vertAlign val="subscript"/>
        <sz val="11"/>
        <color indexed="8"/>
        <rFont val="Calibri"/>
        <family val="2"/>
      </rPr>
      <t>9</t>
    </r>
    <r>
      <rPr>
        <sz val="10"/>
        <rFont val="Arial"/>
        <family val="2"/>
      </rPr>
      <t/>
    </r>
  </si>
  <si>
    <r>
      <t>TP</t>
    </r>
    <r>
      <rPr>
        <b/>
        <i/>
        <vertAlign val="subscript"/>
        <sz val="11"/>
        <color indexed="8"/>
        <rFont val="Calibri"/>
        <family val="2"/>
      </rPr>
      <t>10</t>
    </r>
    <r>
      <rPr>
        <sz val="10"/>
        <rFont val="Arial"/>
        <family val="2"/>
      </rPr>
      <t/>
    </r>
  </si>
  <si>
    <r>
      <t>Tarifas públicas "i" vigentes (</t>
    </r>
    <r>
      <rPr>
        <b/>
        <i/>
        <sz val="11"/>
        <color indexed="9"/>
        <rFont val="Calibri"/>
        <family val="2"/>
      </rPr>
      <t>TPi</t>
    </r>
    <r>
      <rPr>
        <b/>
        <sz val="11"/>
        <color indexed="9"/>
        <rFont val="Calibri"/>
        <family val="2"/>
      </rPr>
      <t>) (em R$)</t>
    </r>
  </si>
  <si>
    <t>Passageiros Transportados (PT)</t>
  </si>
  <si>
    <r>
      <rPr>
        <b/>
        <sz val="11"/>
        <rFont val="Calibri"/>
        <family val="2"/>
      </rPr>
      <t xml:space="preserve">1.1.2. Passageiros Equivalentes </t>
    </r>
    <r>
      <rPr>
        <b/>
        <i/>
        <sz val="11"/>
        <rFont val="Calibri"/>
        <family val="2"/>
      </rPr>
      <t>(PE)</t>
    </r>
  </si>
  <si>
    <t>1.1 Passageiros</t>
  </si>
  <si>
    <r>
      <rPr>
        <b/>
        <sz val="11"/>
        <rFont val="Calibri"/>
        <family val="2"/>
      </rPr>
      <t>1.1.2</t>
    </r>
    <r>
      <rPr>
        <b/>
        <i/>
        <sz val="11"/>
        <rFont val="Calibri"/>
        <family val="2"/>
      </rPr>
      <t>.b Deseja informar dados de modo (marcar X):</t>
    </r>
  </si>
  <si>
    <r>
      <t xml:space="preserve">(ir para o item </t>
    </r>
    <r>
      <rPr>
        <b/>
        <sz val="11"/>
        <rFont val="Calibri"/>
        <family val="2"/>
      </rPr>
      <t>1.1.2</t>
    </r>
    <r>
      <rPr>
        <b/>
        <i/>
        <sz val="11"/>
        <rFont val="Calibri"/>
        <family val="2"/>
      </rPr>
      <t>.c)</t>
    </r>
  </si>
  <si>
    <r>
      <t xml:space="preserve">(ir para o item </t>
    </r>
    <r>
      <rPr>
        <b/>
        <sz val="11"/>
        <rFont val="Calibri"/>
        <family val="2"/>
      </rPr>
      <t>1.1.2</t>
    </r>
    <r>
      <rPr>
        <b/>
        <i/>
        <sz val="11"/>
        <rFont val="Calibri"/>
        <family val="2"/>
      </rPr>
      <t>.d)</t>
    </r>
  </si>
  <si>
    <r>
      <rPr>
        <b/>
        <sz val="11"/>
        <rFont val="Calibri"/>
        <family val="2"/>
      </rPr>
      <t>1.1.2</t>
    </r>
    <r>
      <rPr>
        <b/>
        <i/>
        <sz val="11"/>
        <rFont val="Calibri"/>
        <family val="2"/>
      </rPr>
      <t>.a Tarifa Pública Vigente (TPU)</t>
    </r>
  </si>
  <si>
    <r>
      <t>[m]</t>
    </r>
    <r>
      <rPr>
        <b/>
        <i/>
        <sz val="11"/>
        <color indexed="8"/>
        <rFont val="Calibri"/>
        <family val="2"/>
      </rPr>
      <t>1</t>
    </r>
  </si>
  <si>
    <r>
      <t>[m]</t>
    </r>
    <r>
      <rPr>
        <b/>
        <i/>
        <sz val="11"/>
        <color indexed="8"/>
        <rFont val="Calibri"/>
        <family val="2"/>
      </rPr>
      <t>2</t>
    </r>
    <r>
      <rPr>
        <sz val="10"/>
        <rFont val="Arial"/>
        <family val="2"/>
      </rPr>
      <t/>
    </r>
  </si>
  <si>
    <r>
      <t>[m]</t>
    </r>
    <r>
      <rPr>
        <b/>
        <i/>
        <sz val="11"/>
        <color indexed="8"/>
        <rFont val="Calibri"/>
        <family val="2"/>
      </rPr>
      <t>3</t>
    </r>
    <r>
      <rPr>
        <sz val="10"/>
        <rFont val="Arial"/>
        <family val="2"/>
      </rPr>
      <t/>
    </r>
  </si>
  <si>
    <r>
      <t>[m]</t>
    </r>
    <r>
      <rPr>
        <b/>
        <i/>
        <sz val="11"/>
        <color indexed="8"/>
        <rFont val="Calibri"/>
        <family val="2"/>
      </rPr>
      <t>4</t>
    </r>
    <r>
      <rPr>
        <sz val="10"/>
        <rFont val="Arial"/>
        <family val="2"/>
      </rPr>
      <t/>
    </r>
  </si>
  <si>
    <r>
      <t>[m]</t>
    </r>
    <r>
      <rPr>
        <b/>
        <i/>
        <sz val="11"/>
        <color indexed="8"/>
        <rFont val="Calibri"/>
        <family val="2"/>
      </rPr>
      <t>5</t>
    </r>
    <r>
      <rPr>
        <sz val="10"/>
        <rFont val="Arial"/>
        <family val="2"/>
      </rPr>
      <t/>
    </r>
  </si>
  <si>
    <r>
      <t>[m]</t>
    </r>
    <r>
      <rPr>
        <b/>
        <i/>
        <sz val="11"/>
        <color indexed="8"/>
        <rFont val="Calibri"/>
        <family val="2"/>
      </rPr>
      <t>6</t>
    </r>
    <r>
      <rPr>
        <sz val="10"/>
        <rFont val="Arial"/>
        <family val="2"/>
      </rPr>
      <t/>
    </r>
  </si>
  <si>
    <r>
      <t>[m]</t>
    </r>
    <r>
      <rPr>
        <b/>
        <i/>
        <sz val="11"/>
        <color indexed="8"/>
        <rFont val="Calibri"/>
        <family val="2"/>
      </rPr>
      <t>7</t>
    </r>
    <r>
      <rPr>
        <sz val="10"/>
        <rFont val="Arial"/>
        <family val="2"/>
      </rPr>
      <t/>
    </r>
  </si>
  <si>
    <r>
      <t>[m]</t>
    </r>
    <r>
      <rPr>
        <b/>
        <i/>
        <sz val="11"/>
        <color indexed="8"/>
        <rFont val="Calibri"/>
        <family val="2"/>
      </rPr>
      <t>8</t>
    </r>
    <r>
      <rPr>
        <sz val="10"/>
        <rFont val="Arial"/>
        <family val="2"/>
      </rPr>
      <t/>
    </r>
  </si>
  <si>
    <r>
      <t>[m]</t>
    </r>
    <r>
      <rPr>
        <b/>
        <i/>
        <sz val="11"/>
        <color indexed="8"/>
        <rFont val="Calibri"/>
        <family val="2"/>
      </rPr>
      <t>9</t>
    </r>
    <r>
      <rPr>
        <sz val="10"/>
        <rFont val="Arial"/>
        <family val="2"/>
      </rPr>
      <t/>
    </r>
  </si>
  <si>
    <r>
      <t>[m]</t>
    </r>
    <r>
      <rPr>
        <b/>
        <i/>
        <sz val="11"/>
        <color indexed="8"/>
        <rFont val="Calibri"/>
        <family val="2"/>
      </rPr>
      <t>10</t>
    </r>
    <r>
      <rPr>
        <sz val="10"/>
        <rFont val="Arial"/>
        <family val="2"/>
      </rPr>
      <t/>
    </r>
  </si>
  <si>
    <r>
      <t>[m]</t>
    </r>
    <r>
      <rPr>
        <b/>
        <i/>
        <sz val="11"/>
        <color indexed="8"/>
        <rFont val="Calibri"/>
        <family val="2"/>
      </rPr>
      <t>11</t>
    </r>
    <r>
      <rPr>
        <sz val="10"/>
        <rFont val="Arial"/>
        <family val="2"/>
      </rPr>
      <t/>
    </r>
  </si>
  <si>
    <r>
      <t>[m]</t>
    </r>
    <r>
      <rPr>
        <b/>
        <i/>
        <sz val="11"/>
        <color indexed="8"/>
        <rFont val="Calibri"/>
        <family val="2"/>
      </rPr>
      <t>12</t>
    </r>
    <r>
      <rPr>
        <sz val="10"/>
        <rFont val="Arial"/>
        <family val="2"/>
      </rPr>
      <t/>
    </r>
  </si>
  <si>
    <t>Passageiros Pagantes por mês [m] e Tarifa Pública [TP]i (passageiros/mês)</t>
  </si>
  <si>
    <r>
      <rPr>
        <b/>
        <sz val="11"/>
        <rFont val="Calibri"/>
        <family val="2"/>
      </rPr>
      <t>1.1.2</t>
    </r>
    <r>
      <rPr>
        <b/>
        <i/>
        <sz val="11"/>
        <rFont val="Calibri"/>
        <family val="2"/>
      </rPr>
      <t>.c. Passageiros pagantes por tarifa pública (Anexo I)</t>
    </r>
  </si>
  <si>
    <t>1.1.2.d. Média mensal de Passageiros pagantes por tarifa pública</t>
  </si>
  <si>
    <t>1.1.2.e.  Receita média mensal por tarifa pública (RT)</t>
  </si>
  <si>
    <t>Receita média mensal por tarifa pública (em R$)</t>
  </si>
  <si>
    <t>1.2 Quilometragem Programada (KP)</t>
  </si>
  <si>
    <r>
      <rPr>
        <b/>
        <sz val="10"/>
        <rFont val="Calibri"/>
        <family val="2"/>
      </rPr>
      <t>1.2</t>
    </r>
    <r>
      <rPr>
        <b/>
        <i/>
        <sz val="10"/>
        <rFont val="Calibri"/>
        <family val="2"/>
      </rPr>
      <t>.a.</t>
    </r>
  </si>
  <si>
    <r>
      <rPr>
        <b/>
        <sz val="10"/>
        <rFont val="Calibri"/>
        <family val="2"/>
      </rPr>
      <t>1.2</t>
    </r>
    <r>
      <rPr>
        <b/>
        <i/>
        <sz val="10"/>
        <rFont val="Calibri"/>
        <family val="2"/>
      </rPr>
      <t>.b.</t>
    </r>
  </si>
  <si>
    <r>
      <rPr>
        <b/>
        <sz val="10"/>
        <rFont val="Calibri"/>
        <family val="2"/>
      </rPr>
      <t>1.2</t>
    </r>
    <r>
      <rPr>
        <b/>
        <i/>
        <sz val="10"/>
        <rFont val="Calibri"/>
        <family val="2"/>
      </rPr>
      <t>.c.</t>
    </r>
  </si>
  <si>
    <r>
      <rPr>
        <b/>
        <sz val="10"/>
        <rFont val="Calibri"/>
        <family val="2"/>
      </rPr>
      <t>1.2</t>
    </r>
    <r>
      <rPr>
        <b/>
        <i/>
        <sz val="10"/>
        <rFont val="Calibri"/>
        <family val="2"/>
      </rPr>
      <t>.d.</t>
    </r>
  </si>
  <si>
    <r>
      <t xml:space="preserve">(ir para o item </t>
    </r>
    <r>
      <rPr>
        <b/>
        <sz val="10"/>
        <rFont val="Calibri"/>
        <family val="2"/>
      </rPr>
      <t>1.2</t>
    </r>
    <r>
      <rPr>
        <b/>
        <i/>
        <sz val="10"/>
        <rFont val="Calibri"/>
        <family val="2"/>
      </rPr>
      <t>.c)</t>
    </r>
  </si>
  <si>
    <r>
      <t xml:space="preserve">(ir para o item </t>
    </r>
    <r>
      <rPr>
        <b/>
        <sz val="10"/>
        <rFont val="Calibri"/>
        <family val="2"/>
      </rPr>
      <t>1.2</t>
    </r>
    <r>
      <rPr>
        <b/>
        <i/>
        <sz val="10"/>
        <rFont val="Calibri"/>
        <family val="2"/>
      </rPr>
      <t>.d)</t>
    </r>
  </si>
  <si>
    <t>Extensão programada:</t>
  </si>
  <si>
    <t>Quilometragem programanda por linha (detalhada)[Anexo II]:</t>
  </si>
  <si>
    <t>Quant. de dias de operação no período de análise M (QD[K])</t>
  </si>
  <si>
    <t>1.3 Frota total (FT)</t>
  </si>
  <si>
    <r>
      <rPr>
        <b/>
        <sz val="11"/>
        <rFont val="Calibri"/>
        <family val="2"/>
      </rPr>
      <t>1.3.1. Classificação dos veículos</t>
    </r>
    <r>
      <rPr>
        <b/>
        <i/>
        <sz val="11"/>
        <rFont val="Calibri"/>
        <family val="2"/>
      </rPr>
      <t xml:space="preserve"> (PT)</t>
    </r>
  </si>
  <si>
    <t>ABNT NBR 15570:2009</t>
  </si>
  <si>
    <t>Capacidade</t>
  </si>
  <si>
    <t>PBT mínimo</t>
  </si>
  <si>
    <t>Comprimento total máximo</t>
  </si>
  <si>
    <t>5t</t>
  </si>
  <si>
    <t>8t</t>
  </si>
  <si>
    <t>10t</t>
  </si>
  <si>
    <t>16t</t>
  </si>
  <si>
    <t>26t</t>
  </si>
  <si>
    <t>36t</t>
  </si>
  <si>
    <t>7,4m</t>
  </si>
  <si>
    <t>9,6m</t>
  </si>
  <si>
    <t>14m</t>
  </si>
  <si>
    <t>18,6m</t>
  </si>
  <si>
    <t>30m</t>
  </si>
  <si>
    <t>11,5m</t>
  </si>
  <si>
    <t>Entre 10 e 20 passageiros (exclusivamente sentados)</t>
  </si>
  <si>
    <t>Mínimo de 30 passageiros (sentados e em pé)</t>
  </si>
  <si>
    <t>Mínimo de 40 passageiros  (sentados e em pé)</t>
  </si>
  <si>
    <t>Mínimo de 70 passageiros  (sentados e em pé)</t>
  </si>
  <si>
    <t>Mínimo de 80 passageiros  (sentados e em pé)</t>
  </si>
  <si>
    <t>Mínimo de 100 passageiros  (sentados e em pé)</t>
  </si>
  <si>
    <t>Mínimo de 160 passageiros  (sentados e em pé)</t>
  </si>
  <si>
    <t xml:space="preserve">1.3.2. Cálculo da Frota </t>
  </si>
  <si>
    <r>
      <t>1.3.2.</t>
    </r>
    <r>
      <rPr>
        <b/>
        <i/>
        <sz val="11"/>
        <rFont val="Calibri"/>
        <family val="2"/>
      </rPr>
      <t>a</t>
    </r>
    <r>
      <rPr>
        <b/>
        <sz val="11"/>
        <rFont val="Calibri"/>
        <family val="2"/>
      </rPr>
      <t xml:space="preserve"> Composição da frota (tipologia do veículo)</t>
    </r>
  </si>
  <si>
    <t>1.3.2.b Composição da frota (classe e idade do veículo)</t>
  </si>
  <si>
    <r>
      <t>1.3.2.</t>
    </r>
    <r>
      <rPr>
        <b/>
        <i/>
        <sz val="11"/>
        <rFont val="Calibri"/>
        <family val="2"/>
      </rPr>
      <t>c</t>
    </r>
    <r>
      <rPr>
        <b/>
        <sz val="11"/>
        <rFont val="Calibri"/>
        <family val="2"/>
      </rPr>
      <t xml:space="preserve"> Composição da frota (veículos de apoio)</t>
    </r>
  </si>
  <si>
    <t>1.4 Indicadores</t>
  </si>
  <si>
    <t>1.4.1. Índice de Passageiros por Quilômetro (IPK)</t>
  </si>
  <si>
    <r>
      <rPr>
        <b/>
        <sz val="11"/>
        <rFont val="Calibri"/>
        <family val="2"/>
      </rPr>
      <t>1.1.1. Passageiros Transportados</t>
    </r>
    <r>
      <rPr>
        <b/>
        <i/>
        <sz val="11"/>
        <rFont val="Calibri"/>
        <family val="2"/>
      </rPr>
      <t xml:space="preserve"> por mês (PT)</t>
    </r>
  </si>
  <si>
    <t>Média mensal de passageiros transportados (PT)</t>
  </si>
  <si>
    <t>1.4.2. Percurso Médio Mensal (PMM)</t>
  </si>
  <si>
    <t>Frota operante =</t>
  </si>
  <si>
    <t>Frota funcional =</t>
  </si>
  <si>
    <t>Frota total=</t>
  </si>
  <si>
    <t>Percurso Médio Mensal</t>
  </si>
  <si>
    <t>km/veículo</t>
  </si>
  <si>
    <t>1.4.3. Passageiros Transportados por Veículos por Dia (PVD)</t>
  </si>
  <si>
    <t>Passageiros transportados por dia</t>
  </si>
  <si>
    <t>Periodo de análise N (em dias)</t>
  </si>
  <si>
    <t>dias</t>
  </si>
  <si>
    <t>Pass/veículo/dia</t>
  </si>
  <si>
    <t>1.4.4. Passageiros Equivalentes por Veículos (PMV)</t>
  </si>
  <si>
    <t>Passageiros equivalentes por veículo</t>
  </si>
  <si>
    <t>1.4.1.1</t>
  </si>
  <si>
    <t>1.4.1.2</t>
  </si>
  <si>
    <t>1.4.1.3</t>
  </si>
  <si>
    <t>1.4.1.4</t>
  </si>
  <si>
    <t>1.4.1.5</t>
  </si>
  <si>
    <t>1.4.1.6</t>
  </si>
  <si>
    <t>1.4.1.7</t>
  </si>
  <si>
    <t>1.4.2.1</t>
  </si>
  <si>
    <t>1.4.2.2</t>
  </si>
  <si>
    <t>1.4.2.3</t>
  </si>
  <si>
    <t>1.4.2.4</t>
  </si>
  <si>
    <t>1.4.3.1</t>
  </si>
  <si>
    <t>1.4.3.2</t>
  </si>
  <si>
    <t>1.4.4.1</t>
  </si>
  <si>
    <t>2.1.a Consumo de Combustível</t>
  </si>
  <si>
    <t>2.1.b.i</t>
  </si>
  <si>
    <t>2.1.b.ii</t>
  </si>
  <si>
    <t>2.1.b.iii</t>
  </si>
  <si>
    <t>2.1.b.iv</t>
  </si>
  <si>
    <t>2.1</t>
  </si>
  <si>
    <t>2.1.1</t>
  </si>
  <si>
    <t>2.1.2</t>
  </si>
  <si>
    <t>2.1.3</t>
  </si>
  <si>
    <t>2.1.4</t>
  </si>
  <si>
    <t>2.1.5</t>
  </si>
  <si>
    <t>2.1.6</t>
  </si>
  <si>
    <t>2.2</t>
  </si>
  <si>
    <t>2.2.1.1</t>
  </si>
  <si>
    <t>2.2.1.2</t>
  </si>
  <si>
    <t>2.2.1.3</t>
  </si>
  <si>
    <t>2.2.1.4</t>
  </si>
  <si>
    <t>2.2.1.5</t>
  </si>
  <si>
    <t>2.2.2.</t>
  </si>
  <si>
    <t>2.2.1.</t>
  </si>
  <si>
    <t>2.2.2.1</t>
  </si>
  <si>
    <t>2.2.2.2</t>
  </si>
  <si>
    <t>2.2.2.3</t>
  </si>
  <si>
    <t>2.2.2.4</t>
  </si>
  <si>
    <t>2.2.2.5</t>
  </si>
  <si>
    <t>2.2.2.6</t>
  </si>
  <si>
    <t>Remuneração do Capital Imobilizado (CRC)</t>
  </si>
  <si>
    <t>Custos com pessoal (CPS)</t>
  </si>
  <si>
    <t>2.2.3.</t>
  </si>
  <si>
    <t>2.2.3.1</t>
  </si>
  <si>
    <t>2.2.3.2</t>
  </si>
  <si>
    <t>2.2.4.</t>
  </si>
  <si>
    <t>2.2.4.1</t>
  </si>
  <si>
    <t>2.2.4.2</t>
  </si>
  <si>
    <t>2.2.4.3</t>
  </si>
  <si>
    <t>2.2.4.4</t>
  </si>
  <si>
    <t>2.2.4.5</t>
  </si>
  <si>
    <t>2.2.5.</t>
  </si>
  <si>
    <t>2.2.6.</t>
  </si>
  <si>
    <t>2.2.7.</t>
  </si>
  <si>
    <t>Locação de Veículos de Apoio (CLA)</t>
  </si>
  <si>
    <t>Outras despesas operacionais (CCM)</t>
  </si>
  <si>
    <t>2.3</t>
  </si>
  <si>
    <t>2.3.1.</t>
  </si>
  <si>
    <t>2.3.2.</t>
  </si>
  <si>
    <t>2.4</t>
  </si>
  <si>
    <t>4.</t>
  </si>
  <si>
    <t>ANEXO IV – RELAÇÃO ENTRE O PREÇO DE LUBRIFICANTES E CONSUMO DE ÓLEO DIESEL</t>
  </si>
  <si>
    <t>3.5</t>
  </si>
  <si>
    <t>3.6</t>
  </si>
  <si>
    <t>3.7</t>
  </si>
  <si>
    <t>3.8</t>
  </si>
  <si>
    <t>3.9</t>
  </si>
  <si>
    <t>3.10</t>
  </si>
  <si>
    <t>3.11</t>
  </si>
  <si>
    <t>3.12</t>
  </si>
  <si>
    <t>3.13</t>
  </si>
  <si>
    <t>3.14</t>
  </si>
  <si>
    <t>3.15</t>
  </si>
  <si>
    <t>3.1.1</t>
  </si>
  <si>
    <t>3.2.1</t>
  </si>
  <si>
    <t>3.3.1</t>
  </si>
  <si>
    <t>3.3.2</t>
  </si>
  <si>
    <t>3.4.1</t>
  </si>
  <si>
    <t>3.4.2</t>
  </si>
  <si>
    <t>3.5.1</t>
  </si>
  <si>
    <t>3.6.1</t>
  </si>
  <si>
    <t>3.7.1</t>
  </si>
  <si>
    <t>3.7.2</t>
  </si>
  <si>
    <t>3.7.3</t>
  </si>
  <si>
    <t>3.7.4</t>
  </si>
  <si>
    <t>3.7.5</t>
  </si>
  <si>
    <t>3.7.6</t>
  </si>
  <si>
    <t>3.7.7</t>
  </si>
  <si>
    <t>3.7.8</t>
  </si>
  <si>
    <t>3.7.9</t>
  </si>
  <si>
    <t>3.7.10</t>
  </si>
  <si>
    <t>3.7.11</t>
  </si>
  <si>
    <t>3.7.12</t>
  </si>
  <si>
    <t>3.7.13</t>
  </si>
  <si>
    <t>3.7.14</t>
  </si>
  <si>
    <t>3.7.15</t>
  </si>
  <si>
    <t>3.7.16</t>
  </si>
  <si>
    <t>3.7.17</t>
  </si>
  <si>
    <t>3.7.18</t>
  </si>
  <si>
    <t>3.8.1</t>
  </si>
  <si>
    <t>3.8.2</t>
  </si>
  <si>
    <t>3.8.3</t>
  </si>
  <si>
    <t>3.8.4</t>
  </si>
  <si>
    <t>3.9.1</t>
  </si>
  <si>
    <t>3.9.2</t>
  </si>
  <si>
    <t>3.9.3</t>
  </si>
  <si>
    <t xml:space="preserve"> Estoque equivalente do almoxarifado.................................</t>
  </si>
  <si>
    <t>3.10.1</t>
  </si>
  <si>
    <t>Taxa do Sistema Especial de Liquidação e de Custódia (SELIC)..</t>
  </si>
  <si>
    <t xml:space="preserve"> Índice Nacional de Preços ao Consumidor Amplo (IPCA)...........</t>
  </si>
  <si>
    <t>3.10.2</t>
  </si>
  <si>
    <t>3.10.3</t>
  </si>
  <si>
    <t>3.11.1</t>
  </si>
  <si>
    <t>3.11.2</t>
  </si>
  <si>
    <t>3.11.3</t>
  </si>
  <si>
    <t>3.11.4</t>
  </si>
  <si>
    <t>3.11.5</t>
  </si>
  <si>
    <t>3.11.6</t>
  </si>
  <si>
    <t>3.11.7</t>
  </si>
  <si>
    <t>3.11.8</t>
  </si>
  <si>
    <t>3.11.9</t>
  </si>
  <si>
    <t>3.11.10</t>
  </si>
  <si>
    <t xml:space="preserve"> Vida útil dos equipamentos de bilhetagem e ITS (VUB)</t>
  </si>
  <si>
    <t xml:space="preserve"> Valor residual dos equipamentos de bilhetagem e ITS (VRB)</t>
  </si>
  <si>
    <t>Vida útil da infraestrutura(VUI)</t>
  </si>
  <si>
    <t>Locação de Veículo de Apoio (CLA)...........</t>
  </si>
  <si>
    <t>3.12.1</t>
  </si>
  <si>
    <t>3.12.2</t>
  </si>
  <si>
    <t>3.12.3</t>
  </si>
  <si>
    <t>3.12.4</t>
  </si>
  <si>
    <t>3.12.5</t>
  </si>
  <si>
    <t>3.13.1</t>
  </si>
  <si>
    <t>3.15.1</t>
  </si>
  <si>
    <t>3.15.2</t>
  </si>
  <si>
    <t>3.15.3</t>
  </si>
  <si>
    <t>3.15.4</t>
  </si>
  <si>
    <t>3.15.5</t>
  </si>
  <si>
    <t>3.15.6</t>
  </si>
  <si>
    <t>3.15.7</t>
  </si>
  <si>
    <t>ANEXO V – CONSUMO DO ARLA 32 EM ÔNIBUS</t>
  </si>
  <si>
    <t>ANEXO VI – VIDA ÚTIL E RECAPAGEM DE PNEUS</t>
  </si>
  <si>
    <t>ANEXO VII – PEÇAS E ACESSÓRIOS</t>
  </si>
  <si>
    <t>ANEXO VIII – CUSTOS AMBIENTAIS</t>
  </si>
  <si>
    <t>ANEXO IX – DEPRECIAÇÃO</t>
  </si>
  <si>
    <t>IX.a. Depreciação de veículos</t>
  </si>
  <si>
    <t>VI.a.</t>
  </si>
  <si>
    <t>VI.b.</t>
  </si>
  <si>
    <r>
      <rPr>
        <b/>
        <sz val="11"/>
        <rFont val="Calibri"/>
        <family val="2"/>
      </rPr>
      <t>IV.</t>
    </r>
    <r>
      <rPr>
        <b/>
        <i/>
        <sz val="11"/>
        <rFont val="Calibri"/>
        <family val="2"/>
      </rPr>
      <t xml:space="preserve">a </t>
    </r>
    <r>
      <rPr>
        <b/>
        <sz val="11"/>
        <rFont val="Calibri"/>
        <family val="2"/>
      </rPr>
      <t>Valor de referência</t>
    </r>
  </si>
  <si>
    <t>V.a</t>
  </si>
  <si>
    <t>VI.c.</t>
  </si>
  <si>
    <t>VI.d.</t>
  </si>
  <si>
    <t>VI.e.</t>
  </si>
  <si>
    <t>VI.f.</t>
  </si>
  <si>
    <t>VII.a</t>
  </si>
  <si>
    <t>VIII.a</t>
  </si>
  <si>
    <t>IX.a.1</t>
  </si>
  <si>
    <t>IX.a.2</t>
  </si>
  <si>
    <t>IX.a.3</t>
  </si>
  <si>
    <t>IX.a.4</t>
  </si>
  <si>
    <t>IX.a.5</t>
  </si>
  <si>
    <t>IX.b. Depreciação de edificações e equipamentos e mobiliário de garagem</t>
  </si>
  <si>
    <t>IX.b.1</t>
  </si>
  <si>
    <t>IX.b.2</t>
  </si>
  <si>
    <t>IX.b.3</t>
  </si>
  <si>
    <t>IX.b.4</t>
  </si>
  <si>
    <t>Valores de referência para vida útil dos equipamentos de bilhetagem e ITS</t>
  </si>
  <si>
    <t>IX.b.5</t>
  </si>
  <si>
    <t>IX.b.6</t>
  </si>
  <si>
    <t>ANEXO X – REMUNERAÇÃO DO CAPITAL IMOBILIZADO</t>
  </si>
  <si>
    <t>Remuneração do capital imobilizado em veículos</t>
  </si>
  <si>
    <t>X.a</t>
  </si>
  <si>
    <t>X.a.1</t>
  </si>
  <si>
    <t>X.a.2</t>
  </si>
  <si>
    <t>X.a.3</t>
  </si>
  <si>
    <t>X.a.4</t>
  </si>
  <si>
    <t>X.a.5</t>
  </si>
  <si>
    <t>Remuneração do capital imobilizado em terrenos, edificações e equipamentos de garagem</t>
  </si>
  <si>
    <t>X.b.</t>
  </si>
  <si>
    <t>X.b.1.</t>
  </si>
  <si>
    <t>X.b.2.</t>
  </si>
  <si>
    <t>coeficiente de remuneração anual do capital imobilizado em terrenos</t>
  </si>
  <si>
    <t>coeficiente de remuneração anual do capital imobilizado em edificações</t>
  </si>
  <si>
    <t>coeficiente de remuneração anual do capital imobilizado em equipamentos e mobiliário de garagem</t>
  </si>
  <si>
    <t>Remuneração do capital imobilizado emTerrenos, edificações e equipamentos de garagem (RTE)</t>
  </si>
  <si>
    <t>Remuneração do capital imobilizado em equipamentos de bilhetagem e ITS</t>
  </si>
  <si>
    <t>X.c.</t>
  </si>
  <si>
    <t>X.c.1</t>
  </si>
  <si>
    <t>Fator de remuneração dos equipamentos de bilhetagem e ITS (FRE)</t>
  </si>
  <si>
    <t>X.d.</t>
  </si>
  <si>
    <t>Remuneração do capital imobilizado em veículos de apoio</t>
  </si>
  <si>
    <t>X.d.1</t>
  </si>
  <si>
    <t>fator de remuneração de veículos de apoio (FRV)</t>
  </si>
  <si>
    <t>Remuneração do capital imobilizado em infraestrutura</t>
  </si>
  <si>
    <t>X.e.</t>
  </si>
  <si>
    <t>X.e.1</t>
  </si>
  <si>
    <t>Fator de remuneração da infraestrutura (FRI)</t>
  </si>
  <si>
    <t>ANEXO XII – FATORES DE UTILIZAÇÃO DE PESSOAL DE OPERAÇÃO E ENCARGOS SOCIAIS</t>
  </si>
  <si>
    <t>XII.a</t>
  </si>
  <si>
    <t>ANEXO XIII – MÉTODO PARA CÁLCULO DAS DESPESAS COM PESSOAL DE MANUTENÇÃO, ADMINISTRATIVO E DIRETORIA</t>
  </si>
  <si>
    <t>XIII.a</t>
  </si>
  <si>
    <t>km/mês</t>
  </si>
  <si>
    <t>passageiros/mês</t>
  </si>
  <si>
    <t>pass/veículo/mês</t>
  </si>
  <si>
    <t>2.1.b Cálculo do Valor do Veículo Básico (VEC[básico])</t>
  </si>
  <si>
    <t>2.1.b.v</t>
  </si>
  <si>
    <t>Articulado e Biarticulado</t>
  </si>
  <si>
    <t>Padron</t>
  </si>
  <si>
    <t>4.2</t>
  </si>
  <si>
    <t>4.2.1</t>
  </si>
  <si>
    <t>4.2.2</t>
  </si>
  <si>
    <t>4.3.1</t>
  </si>
  <si>
    <t>4.3.2</t>
  </si>
  <si>
    <t>4.2.3</t>
  </si>
  <si>
    <t>Verificar Anexo VI</t>
  </si>
  <si>
    <t>Remuneração dos veículos</t>
  </si>
  <si>
    <t>Coeficiente de depreciação das edificações (ϖ)</t>
  </si>
  <si>
    <t>Coeficiente de depreciação dos equipamentos (τ)</t>
  </si>
  <si>
    <r>
      <t>Coeficiente de depreciação dos equipamentos de bilhetagem e ITS (</t>
    </r>
    <r>
      <rPr>
        <b/>
        <sz val="11"/>
        <rFont val="Calibri"/>
        <family val="2"/>
      </rPr>
      <t>χ</t>
    </r>
    <r>
      <rPr>
        <b/>
        <i/>
        <sz val="11"/>
        <rFont val="Calibri"/>
        <family val="2"/>
      </rPr>
      <t>)</t>
    </r>
  </si>
  <si>
    <t>Valor investido em equipamentos de bilhetagem e ITS  (CEB)</t>
  </si>
  <si>
    <t>XVI. Cálculo das Despesas Gerais</t>
  </si>
  <si>
    <t>Despesas Gerais</t>
  </si>
  <si>
    <t>Vida residual dos equipamentos de garagem (VRG)</t>
  </si>
  <si>
    <t>3.9.4</t>
  </si>
  <si>
    <t>3.12.6</t>
  </si>
  <si>
    <t>Aumento da participação dos usuários integrados pode, em casos específicos, gerar queda de receita proporcionalmente maior do que a redução de custos</t>
  </si>
  <si>
    <t>Tributos Diretos (TRD)</t>
  </si>
  <si>
    <t>Tributos Diretos (ITR)</t>
  </si>
  <si>
    <t>Riscos Relacionados aos Investimentos Públicos e produtividade</t>
  </si>
  <si>
    <t>Perda de Demanda</t>
  </si>
  <si>
    <t>Valores de referência para consumo anual de peças e acessórios</t>
  </si>
  <si>
    <r>
      <rPr>
        <b/>
        <i/>
        <sz val="11"/>
        <rFont val="Calibri"/>
        <family val="2"/>
      </rPr>
      <t>KPz:</t>
    </r>
    <r>
      <rPr>
        <b/>
        <sz val="11"/>
        <rFont val="Calibri"/>
        <family val="2"/>
      </rPr>
      <t xml:space="preserve"> média mensal da quilometragem programada para cada tipo de veículo</t>
    </r>
  </si>
  <si>
    <t xml:space="preserve">Verificar seção 1.2 do Capítulo 1 </t>
  </si>
  <si>
    <t>0 a 2 anos</t>
  </si>
  <si>
    <t>3 a 4 anos</t>
  </si>
  <si>
    <t>7 a 8 anos</t>
  </si>
  <si>
    <t>9 a 10 anos</t>
  </si>
  <si>
    <t>CUSTOS IMPACTADOS (% do Custo total)</t>
  </si>
  <si>
    <t xml:space="preserve">Risco 1- Garagens e Infraestrutura </t>
  </si>
  <si>
    <t xml:space="preserve">Risco 2- Tecnologia e sistemas </t>
  </si>
  <si>
    <t>Risco 3- Investimento público vs. Produtividade</t>
  </si>
  <si>
    <t>Risco 4 -Certificação ambiental</t>
  </si>
  <si>
    <t>Risco 5- Mudanças na normatização ambiental</t>
  </si>
  <si>
    <t>Risco 6- Risco global de demanda</t>
  </si>
  <si>
    <t>Risco 7- Gratuidades</t>
  </si>
  <si>
    <t>Risco 8- Demanda integrada</t>
  </si>
  <si>
    <t>Risco 9- Reajuste de tarifas</t>
  </si>
  <si>
    <t>Risco 10- Inadimplemento público</t>
  </si>
  <si>
    <t>Risco 11- Câmara de compesação</t>
  </si>
  <si>
    <t>Risco 12- Acidentes</t>
  </si>
  <si>
    <t>Risco 13- Alteração de padrões técnicos</t>
  </si>
  <si>
    <t>Risco 14- Desordem civil</t>
  </si>
  <si>
    <t>Risco 15- Salários acima da inflação</t>
  </si>
  <si>
    <t>Risco 16- Greve trabalhista</t>
  </si>
  <si>
    <t>Risco 17- Alteração significativa da taxa de juros</t>
  </si>
  <si>
    <r>
      <t>Impacto (9</t>
    </r>
    <r>
      <rPr>
        <b/>
        <sz val="10"/>
        <color indexed="8"/>
        <rFont val="Calibri"/>
        <family val="2"/>
      </rPr>
      <t>5%)</t>
    </r>
  </si>
  <si>
    <t>Não realização dos investimentos a cargo do Poder Público na rede de transportes que sejam necessários ao atendimento das condições técnicas e financeiras planejadas. A produtividade utilizada como referência para avaliação da viabilidade do projeto poderá depender de intervenções públicas como alteração da rede de transportes (racionalização e reprogramação), implantação de viário, terminais ou outras condições diferentes das existentes.</t>
  </si>
  <si>
    <t>Produtividade efetiva menor do que a planejada, exigindo maior necessidade de frota operacional para a realização das viagens planejadas e atendimento à demanda prevista. Desta forma, há um incremento proporcional no número de veículos e pessoal embarcado. É esperado aumento dos custos variáveis, devido ao maior de consumo de combustível por quilômetro, porém efeito é de difícil quantificação.</t>
  </si>
  <si>
    <t>Obtenção da certificação, ISO ou similar, é mais demorada ou enseja maiores custos de implantação do que o previsto.</t>
  </si>
  <si>
    <t>Projetos que apresentem exigência relativa a elementos ambientais alinhadas com a legislação vigente sobre o setor, porém sem acrescer elementos adicionais específicos.</t>
  </si>
  <si>
    <t>Projetos que apresentem exigência de certificação ambiental específica para ativos de grande porte, como garagens e centro de manutenção.</t>
  </si>
  <si>
    <t xml:space="preserve">Perda de competitividade do sistema regular face aos meios individuais ou alternativos de transporte e a perda de capacidade de pagamento dos usuários do sistema, por correção da tarifa ou redução de salários médios são consideradas. Incluem também fatos ordinários exógenos que venham a alterar de forma expressiva a demanda, tais como a abertura de uma nova linha de metrô, desativação de centros comerciais, universidades, centros de lazer e similares interferem diretamente na demanda. Deve-se contemplar também situações em que a perda de demanda decorre de atos do Poder Público, como a autorização para novos modos concorrentes de transportes, concorrência predatória de linhas de sistemas municipais ou metropolitanos sobrepostos e conivência com meios de transporte de passageiros clandestinos.
</t>
  </si>
  <si>
    <t xml:space="preserve">Redução da demanda da empresa operadora com correspondente perda de receita tarifária. 
</t>
  </si>
  <si>
    <t>Projetos onde a flexibilidade operacional pode ajustar a estrutura de despesas às novas condições de demanda, resultando em redução no valor total do negócio, mas mantendo os índices de proporcionalidade entre receitas e despesas. Contratualmente em projetos em que o contrato incorpora anualmente variações de demanda para o cálculo da tarifa</t>
  </si>
  <si>
    <t>Projetos com estrutura de custos operacionais rígidos, tornando apenas parte dos custos flexíveis o suficiente para compensarem a perda de demanda. Contratualmente em projetos em que o processo de revisão ordinária (3-5 anos) incorpore a revisão da demanda sobre o equilíbrio econômico financeiro.</t>
  </si>
  <si>
    <t>Projetos com elevada proporção do custo de capital (investimentos iniciais) sobre custos totais, além de parte expressiva dos custos operacionais ser inflexível à demanda. Contratualmente a projetos em que o risco de demanda é integralmente alocado à iniciativa privada.</t>
  </si>
  <si>
    <t>Promulgação de novas gratuidades ou aumento proporcional do número de usuários gratuitos dentro da legislação vigente, por exemplo como mudança na pirâmide etária são contempladas.</t>
  </si>
  <si>
    <t>Redução da demanda equivalente da empresa operadora, com correspondente perda de receita tarifária.</t>
  </si>
  <si>
    <t>Perda de receita: dinâmica de sistemas integrados de transportes</t>
  </si>
  <si>
    <t>Previsão de mecanismos contratuais complementares que garantam o adimplemento de obrigações do Poder Concedente, como a constituição de fundos garantidores. Alternativa é a existência de sanções contratuais de valor mais do que proporcional às perdas incorridas pela empresa concessionária. Transcorrido prazo determinado, previsão de extinção do contrato com a imposição de obrigações de ressarcimento para o Poder Público.</t>
  </si>
  <si>
    <t>Falhas na operação ou desestruturação da Câmara de Compensação e outros mecanismos de arrecadação e distribuição de recursos entre os participantes do sistema de transporte são observados. Ademais, os atrasos ou eventual insuficiência no repasse de recursos do sistema de arrecadação para a empresa impactam no custo.</t>
  </si>
  <si>
    <t xml:space="preserve">Projetos que não dependam da compensação da remuneração entre empresas operadoras </t>
  </si>
  <si>
    <t>Elevação nos custos trabalhistas por aumento de salários acima dos índices convencionais de inflação.</t>
  </si>
  <si>
    <t>Descrição do risco</t>
  </si>
  <si>
    <t>Risco 4- Certificação ambiental</t>
  </si>
  <si>
    <t>Situações em que não se Aplica</t>
  </si>
  <si>
    <t>Não há</t>
  </si>
  <si>
    <t>SOMA DAS ALÍQUOTAS DOS TRIBUTOS DIRETOS</t>
  </si>
  <si>
    <t>DED+DIN+RTE+RIN+CLG</t>
  </si>
  <si>
    <t>DEQ+REQ+CLQ+CLA+CCM</t>
  </si>
  <si>
    <t>CMB+CAB+DVE+RVE</t>
  </si>
  <si>
    <t>CUSTO TOTAL</t>
  </si>
  <si>
    <t>Índice de passageiro por quilômetro (IPK)</t>
  </si>
  <si>
    <t>DVE+RVE+DEQ+REQ+DIN+RIN+CLQ</t>
  </si>
  <si>
    <t>DOP+DMA</t>
  </si>
  <si>
    <t>CMB+CLB+CAR+CRD+CPA+CAB+DVE+RVE</t>
  </si>
  <si>
    <t>Risco baixo</t>
  </si>
  <si>
    <t>Risco Alto</t>
  </si>
  <si>
    <t xml:space="preserve"> Risco Baixo</t>
  </si>
  <si>
    <t>DOP+DVE+RVE+CDS+IPVA+CDR+CCM+DED+DEQ+RTE+RAL+REQ+CLQ+CLG+DVA+RVA+CLA+CMB</t>
  </si>
  <si>
    <t>DVE+DED+DEQ+DVA+DIN+RVE+ RTE+RAL+REQ+RVA+RIN</t>
  </si>
  <si>
    <t>Risco alto</t>
  </si>
  <si>
    <t>Risco médio</t>
  </si>
  <si>
    <t>Receita da Integração</t>
  </si>
  <si>
    <t>Consolidado:</t>
  </si>
  <si>
    <t>2.1.a.i</t>
  </si>
  <si>
    <r>
      <t xml:space="preserve">(ir para o item </t>
    </r>
    <r>
      <rPr>
        <b/>
        <sz val="10"/>
        <rFont val="Calibri"/>
        <family val="2"/>
      </rPr>
      <t>2.1.a.ii</t>
    </r>
    <r>
      <rPr>
        <b/>
        <i/>
        <sz val="10"/>
        <rFont val="Calibri"/>
        <family val="2"/>
      </rPr>
      <t>)</t>
    </r>
  </si>
  <si>
    <r>
      <t>(ir para o item 2.1.a.iii</t>
    </r>
    <r>
      <rPr>
        <b/>
        <i/>
        <sz val="10"/>
        <rFont val="Calibri"/>
        <family val="2"/>
      </rPr>
      <t>)</t>
    </r>
  </si>
  <si>
    <t>2.1.a.ii Consumo σz (l/km) para cada tipo de veículo (consolidado)</t>
  </si>
  <si>
    <t>2.1.a.vi</t>
  </si>
  <si>
    <t>2.1.a.vii  Consumo total para cada tipo de veículo</t>
  </si>
  <si>
    <t>2.1.a.iii  Quantidade de combustível utilizada por tipo de veículo (detalhado)</t>
  </si>
  <si>
    <t>2.1.a.iv  Quantidade de quilometros percorridos por tipo de veículo (detalhado)</t>
  </si>
  <si>
    <t>2.1.a.v  Consumo σz (l/km) para cada tipo de veículo (detalhado)</t>
  </si>
  <si>
    <r>
      <t xml:space="preserve">1.1.2.f.  Receita Integrada (RI) </t>
    </r>
    <r>
      <rPr>
        <b/>
        <sz val="11"/>
        <rFont val="Calibri"/>
        <family val="2"/>
      </rPr>
      <t>refere-se aos recursos ($) especificamente arrecadados nas viagens com integração. Essa informação é usada apenas na análise de risco (aba A.XV. Detalhado)</t>
    </r>
  </si>
  <si>
    <t>TOTAL CUSTOS VARIÁVEIS E FIXOS</t>
  </si>
  <si>
    <t>QUADRO RESUMO DOS CUSTOS (R$/MÊS)</t>
  </si>
  <si>
    <t>CUSTOS VARIÁVEIS</t>
  </si>
  <si>
    <t>TOTAL CUSTOS VARIÁVEIS</t>
  </si>
  <si>
    <t>CUSTOS FIXOS</t>
  </si>
  <si>
    <t>Pessoal</t>
  </si>
  <si>
    <t>Administrativas</t>
  </si>
  <si>
    <t>Depreciação</t>
  </si>
  <si>
    <t>Remuneração</t>
  </si>
  <si>
    <t>TOTAL CUSTOS FIXOS</t>
  </si>
  <si>
    <t>TRIBUTAÇÃO</t>
  </si>
  <si>
    <t>TOTAL DE TRIBUTOS</t>
  </si>
  <si>
    <t>COFINS.....................................................................................................................................................................................................................................</t>
  </si>
  <si>
    <t>Consultar a aba A.III.Combustível</t>
  </si>
  <si>
    <t>ANEXO III – Consumo de combustível</t>
  </si>
  <si>
    <t>De</t>
  </si>
  <si>
    <t>Veículo</t>
  </si>
  <si>
    <t>Micro-ônibus</t>
  </si>
  <si>
    <t xml:space="preserve">*esses valores se referem a veículos operando sem ar-condicionado e sem transmissão automática. </t>
  </si>
  <si>
    <r>
      <rPr>
        <b/>
        <sz val="11"/>
        <rFont val="Calibri"/>
        <family val="2"/>
      </rPr>
      <t>III.</t>
    </r>
    <r>
      <rPr>
        <b/>
        <i/>
        <sz val="11"/>
        <rFont val="Calibri"/>
        <family val="2"/>
      </rPr>
      <t xml:space="preserve">a </t>
    </r>
    <r>
      <rPr>
        <b/>
        <sz val="11"/>
        <rFont val="Calibri"/>
        <family val="2"/>
      </rPr>
      <t>Valores de referência (litros/km)</t>
    </r>
    <r>
      <rPr>
        <b/>
        <sz val="11"/>
        <color indexed="10"/>
        <rFont val="Calibri"/>
        <family val="2"/>
      </rPr>
      <t>*</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</si>
  <si>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[mínimo]</t>
    </r>
  </si>
  <si>
    <r>
      <rPr>
        <b/>
        <i/>
        <vertAlign val="superscript"/>
        <sz val="12"/>
        <color indexed="9"/>
        <rFont val="Arial"/>
        <family val="2"/>
      </rPr>
      <t>σ</t>
    </r>
    <r>
      <rPr>
        <b/>
        <i/>
        <vertAlign val="subscript"/>
        <sz val="12"/>
        <color indexed="9"/>
        <rFont val="Arial"/>
        <family val="2"/>
      </rPr>
      <t>z</t>
    </r>
    <r>
      <rPr>
        <b/>
        <vertAlign val="superscript"/>
        <sz val="12"/>
        <color indexed="9"/>
        <rFont val="Calibri"/>
        <family val="2"/>
      </rPr>
      <t>[máximo]</t>
    </r>
  </si>
  <si>
    <r>
      <t>Faixa etária (</t>
    </r>
    <r>
      <rPr>
        <b/>
        <i/>
        <sz val="12"/>
        <color indexed="9"/>
        <rFont val="Calibri"/>
        <family val="2"/>
      </rPr>
      <t>t</t>
    </r>
    <r>
      <rPr>
        <b/>
        <sz val="12"/>
        <color indexed="9"/>
        <rFont val="Calibri"/>
        <family val="2"/>
      </rPr>
      <t>)</t>
    </r>
  </si>
  <si>
    <t>α [minimo]</t>
  </si>
  <si>
    <t>α [máximo]</t>
  </si>
  <si>
    <t>δ [minimo]</t>
  </si>
  <si>
    <t>δ [máximo]</t>
  </si>
  <si>
    <t>ANEXO XV – MÉTODO DE CÁLCULO DO FATOR DE RISCO</t>
  </si>
  <si>
    <r>
      <t>Lubrificantes (</t>
    </r>
    <r>
      <rPr>
        <i/>
        <sz val="10"/>
        <rFont val="Calibri"/>
        <family val="2"/>
      </rPr>
      <t>CLB</t>
    </r>
    <r>
      <rPr>
        <sz val="10"/>
        <rFont val="Calibri"/>
        <family val="2"/>
      </rPr>
      <t>)......................................................................................................</t>
    </r>
  </si>
  <si>
    <r>
      <t>Material de rodagem (</t>
    </r>
    <r>
      <rPr>
        <i/>
        <sz val="10"/>
        <rFont val="Calibri"/>
        <family val="2"/>
      </rPr>
      <t>CRD</t>
    </r>
    <r>
      <rPr>
        <sz val="10"/>
        <rFont val="Calibri"/>
        <family val="2"/>
      </rPr>
      <t>)................................................................................................................................................</t>
    </r>
  </si>
  <si>
    <r>
      <t>Peças e acessórios (</t>
    </r>
    <r>
      <rPr>
        <i/>
        <sz val="10"/>
        <rFont val="Calibri"/>
        <family val="2"/>
      </rPr>
      <t>CPA</t>
    </r>
    <r>
      <rPr>
        <sz val="10"/>
        <rFont val="Calibri"/>
        <family val="2"/>
      </rPr>
      <t>)...............................................................................</t>
    </r>
  </si>
  <si>
    <r>
      <t>Custos ambientais (</t>
    </r>
    <r>
      <rPr>
        <i/>
        <sz val="10"/>
        <rFont val="Calibri"/>
        <family val="2"/>
      </rPr>
      <t>CAB</t>
    </r>
    <r>
      <rPr>
        <sz val="10"/>
        <rFont val="Calibri"/>
        <family val="2"/>
      </rPr>
      <t>)......................................................................................</t>
    </r>
  </si>
  <si>
    <r>
      <t>Manutenção, administrativo e diretoria (</t>
    </r>
    <r>
      <rPr>
        <i/>
        <sz val="10"/>
        <rFont val="Calibri"/>
        <family val="2"/>
      </rPr>
      <t>DMA</t>
    </r>
    <r>
      <rPr>
        <sz val="10"/>
        <rFont val="Calibri"/>
        <family val="2"/>
      </rPr>
      <t>)...............................................................</t>
    </r>
  </si>
  <si>
    <r>
      <t>Despesas gerais (</t>
    </r>
    <r>
      <rPr>
        <i/>
        <sz val="10"/>
        <rFont val="Calibri"/>
        <family val="2"/>
      </rPr>
      <t>CDG</t>
    </r>
    <r>
      <rPr>
        <sz val="10"/>
        <rFont val="Calibri"/>
        <family val="2"/>
      </rPr>
      <t>).....................................................................................................</t>
    </r>
  </si>
  <si>
    <r>
      <t>DPVAT e licenciamento (</t>
    </r>
    <r>
      <rPr>
        <i/>
        <sz val="10"/>
        <rFont val="Calibri"/>
        <family val="2"/>
      </rPr>
      <t>CDS</t>
    </r>
    <r>
      <rPr>
        <sz val="10"/>
        <rFont val="Calibri"/>
        <family val="2"/>
      </rPr>
      <t>)..........................................................................................................................</t>
    </r>
  </si>
  <si>
    <r>
      <t>Seguros (</t>
    </r>
    <r>
      <rPr>
        <i/>
        <sz val="10"/>
        <rFont val="Calibri"/>
        <family val="2"/>
      </rPr>
      <t>CRD</t>
    </r>
    <r>
      <rPr>
        <sz val="10"/>
        <rFont val="Calibri"/>
        <family val="2"/>
      </rPr>
      <t>)..........................................................................................................</t>
    </r>
  </si>
  <si>
    <r>
      <t>Outras despesas operacionais (</t>
    </r>
    <r>
      <rPr>
        <i/>
        <sz val="10"/>
        <rFont val="Calibri"/>
        <family val="2"/>
      </rPr>
      <t>CCM</t>
    </r>
    <r>
      <rPr>
        <sz val="10"/>
        <rFont val="Calibri"/>
        <family val="2"/>
      </rPr>
      <t>).........................................................................................</t>
    </r>
  </si>
  <si>
    <r>
      <t>Veículos da frota (</t>
    </r>
    <r>
      <rPr>
        <i/>
        <sz val="10"/>
        <rFont val="Calibri"/>
        <family val="2"/>
      </rPr>
      <t>DVE</t>
    </r>
    <r>
      <rPr>
        <sz val="10"/>
        <rFont val="Calibri"/>
        <family val="2"/>
      </rPr>
      <t>)..............................................................................................</t>
    </r>
  </si>
  <si>
    <r>
      <t>Edificações e equipamentos de garagem (</t>
    </r>
    <r>
      <rPr>
        <i/>
        <sz val="10"/>
        <rFont val="Calibri"/>
        <family val="2"/>
      </rPr>
      <t>DED</t>
    </r>
    <r>
      <rPr>
        <sz val="10"/>
        <rFont val="Calibri"/>
        <family val="2"/>
      </rPr>
      <t>)..........................................................................................................</t>
    </r>
  </si>
  <si>
    <r>
      <t>Equipamentos de bilhetagem e ITS (</t>
    </r>
    <r>
      <rPr>
        <i/>
        <sz val="10"/>
        <rFont val="Calibri"/>
        <family val="2"/>
      </rPr>
      <t>DEQ</t>
    </r>
    <r>
      <rPr>
        <sz val="10"/>
        <rFont val="Calibri"/>
        <family val="2"/>
      </rPr>
      <t>).....................................................................................</t>
    </r>
  </si>
  <si>
    <r>
      <t>Veículos de apoio (</t>
    </r>
    <r>
      <rPr>
        <i/>
        <sz val="10"/>
        <rFont val="Calibri"/>
        <family val="2"/>
      </rPr>
      <t>DVA</t>
    </r>
    <r>
      <rPr>
        <sz val="10"/>
        <rFont val="Calibri"/>
        <family val="2"/>
      </rPr>
      <t>).....................................................................................................</t>
    </r>
  </si>
  <si>
    <r>
      <t>Infraestrutura (</t>
    </r>
    <r>
      <rPr>
        <i/>
        <sz val="10"/>
        <rFont val="Calibri"/>
        <family val="2"/>
      </rPr>
      <t>DIN</t>
    </r>
    <r>
      <rPr>
        <sz val="10"/>
        <rFont val="Calibri"/>
        <family val="2"/>
      </rPr>
      <t>).........................................................................................</t>
    </r>
  </si>
  <si>
    <r>
      <t>Veículos da frota (</t>
    </r>
    <r>
      <rPr>
        <i/>
        <sz val="10"/>
        <rFont val="Calibri"/>
        <family val="2"/>
      </rPr>
      <t>RVE</t>
    </r>
    <r>
      <rPr>
        <sz val="10"/>
        <rFont val="Calibri"/>
        <family val="2"/>
      </rPr>
      <t>).......................................................................................................</t>
    </r>
  </si>
  <si>
    <r>
      <t>Terrenos, edificações e equipamentos de garagem (</t>
    </r>
    <r>
      <rPr>
        <i/>
        <sz val="10"/>
        <rFont val="Calibri"/>
        <family val="2"/>
      </rPr>
      <t>RTE</t>
    </r>
    <r>
      <rPr>
        <sz val="10"/>
        <rFont val="Calibri"/>
        <family val="2"/>
      </rPr>
      <t>)...............................................................................................................</t>
    </r>
  </si>
  <si>
    <r>
      <t>Almoxarifado (</t>
    </r>
    <r>
      <rPr>
        <i/>
        <sz val="10"/>
        <rFont val="Calibri"/>
        <family val="2"/>
      </rPr>
      <t>RAL</t>
    </r>
    <r>
      <rPr>
        <sz val="10"/>
        <rFont val="Calibri"/>
        <family val="2"/>
      </rPr>
      <t>).............................................................................................</t>
    </r>
  </si>
  <si>
    <r>
      <t>Equipamentos de bilhetagem e ITS (</t>
    </r>
    <r>
      <rPr>
        <i/>
        <sz val="10"/>
        <rFont val="Calibri"/>
        <family val="2"/>
      </rPr>
      <t>REQ</t>
    </r>
    <r>
      <rPr>
        <sz val="10"/>
        <rFont val="Calibri"/>
        <family val="2"/>
      </rPr>
      <t>)....................................................................................</t>
    </r>
  </si>
  <si>
    <r>
      <t>Veículos de apoio (</t>
    </r>
    <r>
      <rPr>
        <i/>
        <sz val="10"/>
        <rFont val="Calibri"/>
        <family val="2"/>
      </rPr>
      <t>RVA</t>
    </r>
    <r>
      <rPr>
        <sz val="10"/>
        <rFont val="Calibri"/>
        <family val="2"/>
      </rPr>
      <t>)................................................................................................</t>
    </r>
  </si>
  <si>
    <r>
      <t>Infraestrutura (</t>
    </r>
    <r>
      <rPr>
        <i/>
        <sz val="10"/>
        <rFont val="Calibri"/>
        <family val="2"/>
      </rPr>
      <t>RIN</t>
    </r>
    <r>
      <rPr>
        <sz val="10"/>
        <rFont val="Calibri"/>
        <family val="2"/>
      </rPr>
      <t>)................................................................................................</t>
    </r>
  </si>
  <si>
    <r>
      <t>Locação dos equipamentos e sistemas de bilhetagem e ITS (</t>
    </r>
    <r>
      <rPr>
        <i/>
        <sz val="10"/>
        <rFont val="Calibri"/>
        <family val="2"/>
      </rPr>
      <t>CLQ</t>
    </r>
    <r>
      <rPr>
        <sz val="10"/>
        <rFont val="Calibri"/>
        <family val="2"/>
      </rPr>
      <t>).............................................................</t>
    </r>
  </si>
  <si>
    <r>
      <t>Locação de garagem (</t>
    </r>
    <r>
      <rPr>
        <i/>
        <sz val="10"/>
        <rFont val="Calibri"/>
        <family val="2"/>
      </rPr>
      <t>CLG</t>
    </r>
    <r>
      <rPr>
        <sz val="10"/>
        <rFont val="Calibri"/>
        <family val="2"/>
      </rPr>
      <t>).......................................................................................................................</t>
    </r>
  </si>
  <si>
    <r>
      <t>Locação de veículos de Apoio (</t>
    </r>
    <r>
      <rPr>
        <i/>
        <sz val="10"/>
        <rFont val="Calibri"/>
        <family val="2"/>
      </rPr>
      <t>CLA</t>
    </r>
    <r>
      <rPr>
        <sz val="10"/>
        <rFont val="Calibri"/>
        <family val="2"/>
      </rPr>
      <t>)............................................................................</t>
    </r>
  </si>
  <si>
    <t>4.1</t>
  </si>
  <si>
    <t>Custo por Passageiro Transportado</t>
  </si>
  <si>
    <t>Passageiros transportados</t>
  </si>
  <si>
    <t>X</t>
  </si>
  <si>
    <t>IPVA...........................................................................................................................</t>
  </si>
  <si>
    <t>Operação ............................................................................................................</t>
  </si>
  <si>
    <r>
      <t>ARLA 32 (</t>
    </r>
    <r>
      <rPr>
        <i/>
        <sz val="10"/>
        <rFont val="Calibri"/>
        <family val="2"/>
      </rPr>
      <t>CAR</t>
    </r>
    <r>
      <rPr>
        <sz val="10"/>
        <rFont val="Calibri"/>
        <family val="2"/>
      </rPr>
      <t>)........................................................................................................</t>
    </r>
  </si>
  <si>
    <r>
      <t>Combustível (</t>
    </r>
    <r>
      <rPr>
        <i/>
        <sz val="10"/>
        <rFont val="Calibri"/>
        <family val="2"/>
      </rPr>
      <t>CMB</t>
    </r>
    <r>
      <rPr>
        <sz val="10"/>
        <rFont val="Calibri"/>
        <family val="2"/>
      </rPr>
      <t>)..............................................................................................................................</t>
    </r>
  </si>
  <si>
    <t>ICMS..................................................................................................................................................................................................................................</t>
  </si>
  <si>
    <t>Taxa de gerenciamento...................................................................................................................................................................................................</t>
  </si>
  <si>
    <t>PIS....................................................................................................................................................................................................................................</t>
  </si>
  <si>
    <t>Outros.................................................................................................................................................................................................................................</t>
  </si>
  <si>
    <t>Produção quilométrica mensal (km)...........................................................................................................................................................................</t>
  </si>
  <si>
    <t>Frota total.........................................................................................................................................................................................................................</t>
  </si>
  <si>
    <t>Nº de passageiros equivalentes....................................................................................................................................................................................</t>
  </si>
  <si>
    <t>Frota operacional.........................................................................................................................................................................................................................</t>
  </si>
  <si>
    <t>Percurso médio mensal - PMM (km).........................................................................................................................................................................................................................</t>
  </si>
  <si>
    <t>IPK equivalente.........................................................................................................................................................................................................................</t>
  </si>
  <si>
    <t>DADOS DE PRODUÇÃO</t>
  </si>
  <si>
    <t>Coeficiente de consumo de óleo diesel.....................................................</t>
  </si>
  <si>
    <t>1.1. Índice de Passageiros por Quilômetro (IPK)</t>
  </si>
  <si>
    <t>1.1.1</t>
  </si>
  <si>
    <t>1.1.2</t>
  </si>
  <si>
    <t>1.1.3</t>
  </si>
  <si>
    <t>1.1.4</t>
  </si>
  <si>
    <t>1.1.5</t>
  </si>
  <si>
    <t>1.1.6</t>
  </si>
  <si>
    <t>1.1.7</t>
  </si>
  <si>
    <t>1.2. Percurso Médio Mensal (PMM)</t>
  </si>
  <si>
    <t>1.2.1</t>
  </si>
  <si>
    <t>1.2.2</t>
  </si>
  <si>
    <t>1.2.3</t>
  </si>
  <si>
    <t>1.2.4</t>
  </si>
  <si>
    <t>1.3. Passageiros Transportados por Veículos por Dia (PVD)</t>
  </si>
  <si>
    <t>1.3.1</t>
  </si>
  <si>
    <t>1.3.2</t>
  </si>
  <si>
    <t>1.4.1</t>
  </si>
  <si>
    <t>1.4. Passageiros Equivalentes por Veículos (PMV)</t>
  </si>
  <si>
    <t>2. Insumos</t>
  </si>
  <si>
    <t>1. Indicadores Operacionais</t>
  </si>
  <si>
    <t>2.2.1</t>
  </si>
  <si>
    <t>2.3.1</t>
  </si>
  <si>
    <t>2.3.2</t>
  </si>
  <si>
    <t>2.4.1</t>
  </si>
  <si>
    <t>2.4.2</t>
  </si>
  <si>
    <t>2.5.1</t>
  </si>
  <si>
    <t>2.6.1</t>
  </si>
  <si>
    <t>2.7.1</t>
  </si>
  <si>
    <t>2.7.2</t>
  </si>
  <si>
    <t>2.7.4</t>
  </si>
  <si>
    <t>2.7.5</t>
  </si>
  <si>
    <t>2.7.6</t>
  </si>
  <si>
    <t>2.7.7</t>
  </si>
  <si>
    <t>2.7.8</t>
  </si>
  <si>
    <t>2.7.9</t>
  </si>
  <si>
    <t>2.7.10</t>
  </si>
  <si>
    <t>2.7.11</t>
  </si>
  <si>
    <t>2.7.12</t>
  </si>
  <si>
    <t>2.7.14</t>
  </si>
  <si>
    <t>2.7.15</t>
  </si>
  <si>
    <t>2.7.16</t>
  </si>
  <si>
    <t>2.7.17</t>
  </si>
  <si>
    <t>2.7.18</t>
  </si>
  <si>
    <t>2.8.1</t>
  </si>
  <si>
    <t>2.8.2</t>
  </si>
  <si>
    <t>2.8.4</t>
  </si>
  <si>
    <t>2.9.1</t>
  </si>
  <si>
    <t>2.9.2</t>
  </si>
  <si>
    <t>2.9.4</t>
  </si>
  <si>
    <t>2.10.1</t>
  </si>
  <si>
    <t>2.10.2</t>
  </si>
  <si>
    <t>2.11.1</t>
  </si>
  <si>
    <t>2.11.2</t>
  </si>
  <si>
    <t>2.11.4</t>
  </si>
  <si>
    <t>2.11.5</t>
  </si>
  <si>
    <t>2.11.6</t>
  </si>
  <si>
    <t>2.11.7</t>
  </si>
  <si>
    <t>2.11.8</t>
  </si>
  <si>
    <t>2.11.9</t>
  </si>
  <si>
    <t>2.11.10</t>
  </si>
  <si>
    <t>2.12.1</t>
  </si>
  <si>
    <t>2.12.2</t>
  </si>
  <si>
    <t>2.12.4</t>
  </si>
  <si>
    <t>2.12.5</t>
  </si>
  <si>
    <t>2.12.6</t>
  </si>
  <si>
    <t>2.15.1</t>
  </si>
  <si>
    <t>2.15.2</t>
  </si>
  <si>
    <t>2.15.4</t>
  </si>
  <si>
    <t>2.15.5</t>
  </si>
  <si>
    <t>2.15.6</t>
  </si>
  <si>
    <t>2.15.7</t>
  </si>
  <si>
    <t>2.7.13</t>
  </si>
  <si>
    <t>2.8.3</t>
  </si>
  <si>
    <t>2.9.3</t>
  </si>
  <si>
    <t>2.10.3</t>
  </si>
  <si>
    <t>2.11.3</t>
  </si>
  <si>
    <t>2.12.3</t>
  </si>
  <si>
    <t>2.13.1</t>
  </si>
  <si>
    <t>2.15.3</t>
  </si>
  <si>
    <t>Tarifa pública de preponderante vigente (TPU)..........................................</t>
  </si>
  <si>
    <t>Receita média mensal total do sistema (RT)..........................................</t>
  </si>
  <si>
    <t>Média mensal de passageiros transportados (PT)..........................................</t>
  </si>
  <si>
    <t>Média mensal de passageiros pagantes equivalentes (PE)..........................................</t>
  </si>
  <si>
    <t>Média mensal da quilometragem programada (KP)..........................................</t>
  </si>
  <si>
    <t>Índice de passageiro equivalentes por quilômetro (IPKe)..........................................</t>
  </si>
  <si>
    <t>Frota total..................................................................................................................................</t>
  </si>
  <si>
    <t>Frota operante..................................................................................................................................</t>
  </si>
  <si>
    <t>Frota funcional..................................................................................................................................</t>
  </si>
  <si>
    <t>Percurso Médio Mensal..................................................................................................................................</t>
  </si>
  <si>
    <t>Passageiros transportados por dia..................................................................................................................................</t>
  </si>
  <si>
    <t>Período de análise N (em dias)..................................................................................................................................</t>
  </si>
  <si>
    <t>Passageiros equivalentes por veículo..................................................................................................................................</t>
  </si>
  <si>
    <t>Preço do óleo diesel ...............................................................................</t>
  </si>
  <si>
    <t>2.1. Óleo diesel (OLD)</t>
  </si>
  <si>
    <t>2.2. Lubrificantes (CLB)</t>
  </si>
  <si>
    <t>2.3. ARLA 32 (ARL)</t>
  </si>
  <si>
    <t>2.4. Rodagem (ROD)</t>
  </si>
  <si>
    <t>2.5 Custos Ambientais (CAB)</t>
  </si>
  <si>
    <t>2.6 Veículo (VEC)</t>
  </si>
  <si>
    <t>2.7 Salários e benefícios (SAB)</t>
  </si>
  <si>
    <t>2.8 Taxas e Seguros</t>
  </si>
  <si>
    <t>2.9 Infraestrutura</t>
  </si>
  <si>
    <t>2.10 Taxa de Remuneração do Capital (TRC)</t>
  </si>
  <si>
    <t>2.11 Capital investido em terrenos, edificações e equipamentos de garagem</t>
  </si>
  <si>
    <t>2.12 Serviços de terceiros, compartilhados e locações</t>
  </si>
  <si>
    <t xml:space="preserve">2.13 Taxa de remuneração do serviço (RPS) </t>
  </si>
  <si>
    <t>2.15 Tributos Diretos (TRD)</t>
  </si>
  <si>
    <t>2.16.1</t>
  </si>
  <si>
    <t>Índice de passageiro por quilômetro (IPK)..............................................</t>
  </si>
  <si>
    <t>Coeficiente de correlação do consumo de lubrificante relacionado ao consumo de óleo diesel .......................................................</t>
  </si>
  <si>
    <t>Preço do Arla 32 ...........................................................................................</t>
  </si>
  <si>
    <t>Coeficiente de correlação do consumo do ARLA 32 relacionado ao preço do óleo diesel...........................................................</t>
  </si>
  <si>
    <t>215/75 R17,6 ............................................</t>
  </si>
  <si>
    <t>295/80 R22,6 ............................................</t>
  </si>
  <si>
    <t>275/80 R22,6 ............................................</t>
  </si>
  <si>
    <t>Fator de correlação entre os custos ambientais e o preço médio do ônibus básico novo .................................................</t>
  </si>
  <si>
    <t>Preço médio ônibus básico novo ..............................................</t>
  </si>
  <si>
    <t>Salário do Motorista (SALmot) ...................................................................</t>
  </si>
  <si>
    <t>Salário do Cobrador (SALcob) .....................................................................................</t>
  </si>
  <si>
    <t>Salário do Fiscal (SAL fisc) ...............................................................................</t>
  </si>
  <si>
    <t>Salário do Despachante (SALdes) ...............................................................................</t>
  </si>
  <si>
    <t>Benefícios do Motorista (BENmot) ...............................................................................</t>
  </si>
  <si>
    <t>Benefícios do Cobrador (BENcob) ...............................................................................</t>
  </si>
  <si>
    <t>Benefícios do Despachante (BENdes) .........................................................................</t>
  </si>
  <si>
    <t>Benefícios do Fiscal (BEN fisc) .........................................................................</t>
  </si>
  <si>
    <t>Fator de utilização dos Motoristas (FUTmot) ................................................................</t>
  </si>
  <si>
    <t>Fator de utilização dos Cobradores (FUTcob) ..............................................................</t>
  </si>
  <si>
    <t>Fator de utilização dos Despachantes (FUTdes) ...........................................................</t>
  </si>
  <si>
    <t>Fator de utilização dos Fiscais (FUT fisc).....................................................................</t>
  </si>
  <si>
    <t>Fator de utilização físico dos Motoristas (FUFmot) ........................................................</t>
  </si>
  <si>
    <t>Fator de utilização físico dos Cobradores (FUFcob) ......................................................</t>
  </si>
  <si>
    <t>Fator de utilização físico dos Despachantes (FUFdes) ..................................................</t>
  </si>
  <si>
    <t>Fator de utilização físico dos Fiscais (FUF fisc).............................................................</t>
  </si>
  <si>
    <t>Encargo Social (ECS) .................................................................................................</t>
  </si>
  <si>
    <t>Despesas  pessoal de manutenção, administrativo e diretoria em relação ao pessoal operacional (Θ) .................................</t>
  </si>
  <si>
    <t>Seguro obrigatório por veículo (VAS ) ...........................................................................</t>
  </si>
  <si>
    <t>Taxa de licenciamento por veículo (VAT) ......................................................................</t>
  </si>
  <si>
    <t>Seguro de responsabilidade civil facultativo (CDR) ........................................................</t>
  </si>
  <si>
    <t>IPVA ........................................................................................................................</t>
  </si>
  <si>
    <t>Tempo de contrato a partir da data de realização do investimento (DUC) ...............................................................</t>
  </si>
  <si>
    <t>Valor do investimento em infraestrutura (VIN) ...............................................................</t>
  </si>
  <si>
    <t>Vida útil da infraestrutura(VUI)..............................................</t>
  </si>
  <si>
    <t>Taxa de Remuneração do Capital (TRC)..............................................</t>
  </si>
  <si>
    <t>Valor investido em edificações (CIE) ............................................................................</t>
  </si>
  <si>
    <t>Custos de investimento no terreno (CIT) .......................................</t>
  </si>
  <si>
    <t>Vida Útil das Edificações (VUE)..................................................</t>
  </si>
  <si>
    <t>Valor Residual das Edificações (VRE)..............................................</t>
  </si>
  <si>
    <t>Valor investido em equipamentos de garagem (CIG) ......................................................</t>
  </si>
  <si>
    <t>Vida Útil dos equipamentos de garagem (VUQ)..............................................</t>
  </si>
  <si>
    <t>Vida residual dos equipamentos de garagem (VRG)..............................................</t>
  </si>
  <si>
    <t>Valor investido em equipamentos de bilhetagem e ITS  (CEB)............................................................................................</t>
  </si>
  <si>
    <t xml:space="preserve"> Vida útil dos equipamentos de bilhetagem e ITS (VUB)..............................................</t>
  </si>
  <si>
    <t xml:space="preserve"> Valor residual dos equipamentos de bilhetagem e ITS (VRB)..............................................</t>
  </si>
  <si>
    <t>Despesas de Comercialização, serviços prestados em terminais/estações de transferência e centrais de controle da operação (CCM) ....................................................................</t>
  </si>
  <si>
    <t>Valor anual da locação por equipamento locado por veículo (QL) .......................................................................................</t>
  </si>
  <si>
    <t>Valor anual da locação de cada conjunto de equipamentos (QEL)......................................................................................</t>
  </si>
  <si>
    <t>Quantidade de conjuntos de equipamentos locados (QEQ) ..........................................................................</t>
  </si>
  <si>
    <t>Locação de garagem (CLG) .......................................................</t>
  </si>
  <si>
    <t>Locação de Veículo de Apoio (CLA).........................................................</t>
  </si>
  <si>
    <t>Taxa de remuneração do serviço (RPS)....................................................................</t>
  </si>
  <si>
    <t>2.14 Despesas gerais (CDG)</t>
  </si>
  <si>
    <t>Imposto sobre serviços de qualquer natureza (ISSQN) ..................................................</t>
  </si>
  <si>
    <t>Programa de integração social (PIS) ............................................................................</t>
  </si>
  <si>
    <t>Contribuição para o financiamento da seguridade social (COFINS) ...............................................................................</t>
  </si>
  <si>
    <t>Taxa de ger. e adm. do sistema de transp. ou taxa de regulação do serviço e taxa de adm. de terminais ...................</t>
  </si>
  <si>
    <t>Outros tributos .........................................................................</t>
  </si>
  <si>
    <t>ICMS ........................................................................................</t>
  </si>
  <si>
    <t>Lei Federal nº 12.715/2012 (INSS).........................................................................................................................................................................................................................................</t>
  </si>
  <si>
    <t>INSS (devido a desoneração de folha para o segmento de transporte urbano lei federal 12.715/2012) ............................</t>
  </si>
  <si>
    <t>Subsídio mensal / Publicidade para custeio da tarifa..........................................</t>
  </si>
  <si>
    <t>Subsídio (SUB) / Publicidade</t>
  </si>
  <si>
    <t>Subsídio / Publicidade</t>
  </si>
  <si>
    <t>Estudante</t>
  </si>
  <si>
    <t>Serviço de conservação e manutenção (manutenção de abrigos)</t>
  </si>
  <si>
    <t>2.16 Receita com Publicidade</t>
  </si>
  <si>
    <t>Receita com Publicidade..................................................................</t>
  </si>
  <si>
    <t>Custo Total</t>
  </si>
  <si>
    <t>Taxa de remuneração do serviço (RPS)</t>
  </si>
  <si>
    <t>Total</t>
  </si>
  <si>
    <t>Outros</t>
  </si>
  <si>
    <t>ICMS</t>
  </si>
  <si>
    <t>Idade</t>
  </si>
  <si>
    <t>De 0 a 1</t>
  </si>
  <si>
    <t>De 1 a 2</t>
  </si>
  <si>
    <t>De 2 a 3</t>
  </si>
  <si>
    <t>De 3 a 4</t>
  </si>
  <si>
    <t>De 4 a 5</t>
  </si>
  <si>
    <t>De 5 a 6</t>
  </si>
  <si>
    <t>De 6 a 7</t>
  </si>
  <si>
    <t>De 7 a 8</t>
  </si>
  <si>
    <t>De 8 a 9</t>
  </si>
  <si>
    <t>De 9 a 10</t>
  </si>
  <si>
    <t>Mais de 10 anos</t>
  </si>
  <si>
    <t>Consumo de Combustível (l/km)</t>
  </si>
  <si>
    <t>Valor do veículo novo</t>
  </si>
  <si>
    <t>Preço do óleo diesel</t>
  </si>
  <si>
    <t>Preço do Arla 32</t>
  </si>
  <si>
    <t>Coeficiente de correlação do consumo do ARLA 32 relacionado ao preço do óleo diesel</t>
  </si>
  <si>
    <t>Coeficiente de correlação do consumo de lubrificante relacionado ao consumo de óleo diesel</t>
  </si>
  <si>
    <t>Preço do pneu novo (275/80 R22,6)</t>
  </si>
  <si>
    <t>Preço da recapagem (275/80 R22,6)</t>
  </si>
  <si>
    <t>Salário do Motorista (SALmot)</t>
  </si>
  <si>
    <t>Salário do Cobrador (SALcob)</t>
  </si>
  <si>
    <t>Salário do Despachante (SALdes)</t>
  </si>
  <si>
    <t>Salário do Fiscal (SAL fisc)</t>
  </si>
  <si>
    <t>Benefícios do Motorista (BENmot)</t>
  </si>
  <si>
    <t>Benefícios do Cobrador (BENcob)</t>
  </si>
  <si>
    <t>Benefícios do Despachante (BENdes)</t>
  </si>
  <si>
    <t>Benefícios do Fiscal (BEN fisc)</t>
  </si>
  <si>
    <t>Fator de utilização dos Motoristas (FUTmot)</t>
  </si>
  <si>
    <t>Fator de utilização dos Cobradores (FUTcob)</t>
  </si>
  <si>
    <t>Fator de utilização dos Despachantes (FUTdes)</t>
  </si>
  <si>
    <t>Fator de utilização dos Fiscais (FUT fisc)</t>
  </si>
  <si>
    <t>Fator de utilização físico dos Motoristas (FUFmot)</t>
  </si>
  <si>
    <t>Fator de utilização físico dos Cobradores (FUFcob)</t>
  </si>
  <si>
    <t>Fator de utilização físico dos Despachantes (FUFdes)</t>
  </si>
  <si>
    <t>Fator de utilização físico dos Fiscais (FUF fisc)</t>
  </si>
  <si>
    <t>Encargo Social (ECS)</t>
  </si>
  <si>
    <t>Despesas  pessoal de manutenção, administrativo e diretoria em relação ao pessoal operacional (Θ)</t>
  </si>
  <si>
    <t>Seguro obrigatório por veículo (VAS )</t>
  </si>
  <si>
    <t>Taxa de licenciamento por veículo (VAT)</t>
  </si>
  <si>
    <t>Tempo de contrato a partir da data de realização do investimento (DUC)</t>
  </si>
  <si>
    <t>Valor do investimento em infraestrutura (VIN)</t>
  </si>
  <si>
    <t>Custos de investimento no terreno (CIT)</t>
  </si>
  <si>
    <t>Valor investido em edificações (CIE)</t>
  </si>
  <si>
    <t>Valor investido em equipamentos de garagem (CIG)</t>
  </si>
  <si>
    <t>Despesas de Comercialização, serviços prestados em terminais/estações de transferência e centrais de controle da operação (CCM)</t>
  </si>
  <si>
    <t>Valor anual da locação por equipamento locado por veículo (QL)</t>
  </si>
  <si>
    <t>Valor anual da locação de cada conjunto de equipamentos (QEL)</t>
  </si>
  <si>
    <t>Quantidade de conjuntos de equipamentos locados (QEQ)</t>
  </si>
  <si>
    <t>Locação de Veículo de Apoio (CLA)</t>
  </si>
  <si>
    <t>Imposto sobre serviços de qualquer natureza (ISSQN)</t>
  </si>
  <si>
    <t>Programa de integração social (PIS)</t>
  </si>
  <si>
    <t>Contribuição para o financiamento da seguridade social (COFINS)</t>
  </si>
  <si>
    <t>Taxa de ger. e adm. do sistema de transp. ou taxa de regulação do serviço e taxa de adm. de terminais</t>
  </si>
  <si>
    <t>INSS (devido a desoneração de folha para o segmento de transporte urbano lei federal 12.715/2012)</t>
  </si>
  <si>
    <t>Outros tributos</t>
  </si>
  <si>
    <t>Receita com Publicidade</t>
  </si>
  <si>
    <t>Preço do pneu novo (215/75 R17,6)</t>
  </si>
  <si>
    <t>Preço do pneu novo (295/80 R22,6)</t>
  </si>
  <si>
    <t>Preço da recapagem (295/80 R22,6)</t>
  </si>
  <si>
    <t>Preço da recapagem (215/75 R17,6)</t>
  </si>
  <si>
    <t>Equipamento de segurança</t>
  </si>
  <si>
    <t>Material de limpeza</t>
  </si>
  <si>
    <t>Material de escritório</t>
  </si>
  <si>
    <t>Material de consumo de informática</t>
  </si>
  <si>
    <t>Material de manutenção predial</t>
  </si>
  <si>
    <t>Água e esgoto</t>
  </si>
  <si>
    <t>Energia elétrica</t>
  </si>
  <si>
    <t>Correios</t>
  </si>
  <si>
    <t>Telefone</t>
  </si>
  <si>
    <t>Rádio</t>
  </si>
  <si>
    <t>Internet</t>
  </si>
  <si>
    <t>Frete e carretos</t>
  </si>
  <si>
    <t>Treinamento de pessoal</t>
  </si>
  <si>
    <t>Imposto Predial e Territorial Urbano (IPTU)</t>
  </si>
  <si>
    <t>Livros e periódicos</t>
  </si>
  <si>
    <t>Transporte de valores nas garagens</t>
  </si>
  <si>
    <t>Serviços terceirizados de segurança patrimonial e portaria</t>
  </si>
  <si>
    <t>Serviços terceirizados de lavagem de veículos</t>
  </si>
  <si>
    <t>Serviços terceirizados de manutenção predial</t>
  </si>
  <si>
    <t>Serviços terceirizados de despachante admnistrativos</t>
  </si>
  <si>
    <t>Serviços terceirizados na área contábil</t>
  </si>
  <si>
    <t>Serviços terceirizados na área de medicina do trabalho</t>
  </si>
  <si>
    <t>Serviços terceirizados na área jurídica</t>
  </si>
  <si>
    <t>Serviços terceirizados na área de informática</t>
  </si>
  <si>
    <t>Serviços terceirizados na área de recursos humanos</t>
  </si>
  <si>
    <t>Estoque equivalente do almoxarifado</t>
  </si>
  <si>
    <t>Insumos - por tipo de veículo</t>
  </si>
  <si>
    <t>Insumos Gerais</t>
  </si>
  <si>
    <t>Cálculo das Despesas Gerais</t>
  </si>
  <si>
    <t>Frota operante</t>
  </si>
  <si>
    <t>veículos</t>
  </si>
  <si>
    <t>Frota reserva</t>
  </si>
  <si>
    <r>
      <t>Salário do Cobrador (SAL</t>
    </r>
    <r>
      <rPr>
        <i/>
        <sz val="8"/>
        <rFont val="Calibri"/>
        <family val="2"/>
        <scheme val="minor"/>
      </rPr>
      <t>cob</t>
    </r>
    <r>
      <rPr>
        <i/>
        <sz val="10"/>
        <rFont val="Calibri"/>
        <family val="2"/>
        <scheme val="minor"/>
      </rPr>
      <t>) .......................................</t>
    </r>
  </si>
  <si>
    <r>
      <t>Salário do Motorista (SAL</t>
    </r>
    <r>
      <rPr>
        <i/>
        <sz val="8"/>
        <rFont val="Calibri"/>
        <family val="2"/>
        <scheme val="minor"/>
      </rPr>
      <t>mot</t>
    </r>
    <r>
      <rPr>
        <i/>
        <sz val="10"/>
        <rFont val="Calibri"/>
        <family val="2"/>
        <scheme val="minor"/>
      </rPr>
      <t>) .......................................</t>
    </r>
  </si>
  <si>
    <r>
      <t>Salário do Despachante (SAL</t>
    </r>
    <r>
      <rPr>
        <i/>
        <sz val="8"/>
        <rFont val="Calibri"/>
        <family val="2"/>
        <scheme val="minor"/>
      </rPr>
      <t>des</t>
    </r>
    <r>
      <rPr>
        <i/>
        <sz val="10"/>
        <rFont val="Calibri"/>
        <family val="2"/>
        <scheme val="minor"/>
      </rPr>
      <t>) .................................</t>
    </r>
  </si>
  <si>
    <r>
      <t>Benefícios do Motorista (BEN</t>
    </r>
    <r>
      <rPr>
        <i/>
        <sz val="8"/>
        <rFont val="Calibri"/>
        <family val="2"/>
        <scheme val="minor"/>
      </rPr>
      <t>mot</t>
    </r>
    <r>
      <rPr>
        <i/>
        <sz val="10"/>
        <rFont val="Calibri"/>
        <family val="2"/>
        <scheme val="minor"/>
      </rPr>
      <t>) .................................</t>
    </r>
  </si>
  <si>
    <r>
      <t>Benefícios do Cobrador (BEN</t>
    </r>
    <r>
      <rPr>
        <i/>
        <sz val="8"/>
        <rFont val="Calibri"/>
        <family val="2"/>
        <scheme val="minor"/>
      </rPr>
      <t>cob</t>
    </r>
    <r>
      <rPr>
        <i/>
        <sz val="10"/>
        <rFont val="Calibri"/>
        <family val="2"/>
        <scheme val="minor"/>
      </rPr>
      <t>) .................................</t>
    </r>
  </si>
  <si>
    <r>
      <t>Benefícios do Despachante (BEN</t>
    </r>
    <r>
      <rPr>
        <i/>
        <sz val="8"/>
        <rFont val="Calibri"/>
        <family val="2"/>
        <scheme val="minor"/>
      </rPr>
      <t>des</t>
    </r>
    <r>
      <rPr>
        <i/>
        <sz val="10"/>
        <rFont val="Calibri"/>
        <family val="2"/>
        <scheme val="minor"/>
      </rPr>
      <t>) ...........................</t>
    </r>
  </si>
  <si>
    <r>
      <t>Fator de utilização dos Motoristas (FUT</t>
    </r>
    <r>
      <rPr>
        <i/>
        <sz val="8"/>
        <rFont val="Calibri"/>
        <family val="2"/>
        <scheme val="minor"/>
      </rPr>
      <t>mot</t>
    </r>
    <r>
      <rPr>
        <i/>
        <sz val="10"/>
        <rFont val="Calibri"/>
        <family val="2"/>
        <scheme val="minor"/>
      </rPr>
      <t>) ..................</t>
    </r>
  </si>
  <si>
    <r>
      <t>Fator de utilização dos Cobradores (FUT</t>
    </r>
    <r>
      <rPr>
        <i/>
        <sz val="8"/>
        <rFont val="Calibri"/>
        <family val="2"/>
        <scheme val="minor"/>
      </rPr>
      <t>cob</t>
    </r>
    <r>
      <rPr>
        <i/>
        <sz val="10"/>
        <rFont val="Calibri"/>
        <family val="2"/>
        <scheme val="minor"/>
      </rPr>
      <t>) ................</t>
    </r>
  </si>
  <si>
    <r>
      <t>Fator de utilização dos Despachantes (FUT</t>
    </r>
    <r>
      <rPr>
        <i/>
        <sz val="8"/>
        <rFont val="Calibri"/>
        <family val="2"/>
        <scheme val="minor"/>
      </rPr>
      <t>des</t>
    </r>
    <r>
      <rPr>
        <i/>
        <sz val="10"/>
        <rFont val="Calibri"/>
        <family val="2"/>
        <scheme val="minor"/>
      </rPr>
      <t>) .............</t>
    </r>
  </si>
  <si>
    <r>
      <t>Fator de utilização físico dos Motoristas (FUF</t>
    </r>
    <r>
      <rPr>
        <i/>
        <sz val="8"/>
        <rFont val="Calibri"/>
        <family val="2"/>
        <scheme val="minor"/>
      </rPr>
      <t>mot</t>
    </r>
    <r>
      <rPr>
        <i/>
        <sz val="10"/>
        <rFont val="Calibri"/>
        <family val="2"/>
        <scheme val="minor"/>
      </rPr>
      <t>) ..........</t>
    </r>
  </si>
  <si>
    <r>
      <t>Fator de utilização físico dos Cobradores (FUF</t>
    </r>
    <r>
      <rPr>
        <i/>
        <sz val="8"/>
        <rFont val="Calibri"/>
        <family val="2"/>
        <scheme val="minor"/>
      </rPr>
      <t>cob</t>
    </r>
    <r>
      <rPr>
        <i/>
        <sz val="10"/>
        <rFont val="Calibri"/>
        <family val="2"/>
        <scheme val="minor"/>
      </rPr>
      <t>) ........</t>
    </r>
  </si>
  <si>
    <r>
      <t>Fator de utilização físico dos Despachantes (FUF</t>
    </r>
    <r>
      <rPr>
        <i/>
        <sz val="8"/>
        <rFont val="Calibri"/>
        <family val="2"/>
        <scheme val="minor"/>
      </rPr>
      <t>des</t>
    </r>
    <r>
      <rPr>
        <i/>
        <sz val="10"/>
        <rFont val="Calibri"/>
        <family val="2"/>
        <scheme val="minor"/>
      </rPr>
      <t>) ....</t>
    </r>
  </si>
  <si>
    <t>Não há células a serem preenchidas nessa aba</t>
  </si>
  <si>
    <t>Custo por Quilômetro Referência......................................................................................................................................................................</t>
  </si>
  <si>
    <t>Receita com Publicidade - 1% do Custo Total sem Impostos.................................................................................................................................................................................</t>
  </si>
  <si>
    <t>Pass. Equivalente - Rural</t>
  </si>
  <si>
    <t>Vida útil dos equipamentos de bilhetagem e ITS (VUB)</t>
  </si>
  <si>
    <t>Valor residual dos equipamentos de bilhetagem e ITS (VRB)</t>
  </si>
  <si>
    <t>Tarifa Pública Urbana.........................................................................................................................................................................................................................</t>
  </si>
  <si>
    <t>IPCA</t>
  </si>
  <si>
    <t>Serviço de Atendimento ao Passageiro (SAP)</t>
  </si>
  <si>
    <t>3.</t>
  </si>
  <si>
    <t>3.1</t>
  </si>
  <si>
    <t>3.2</t>
  </si>
  <si>
    <t>3.3</t>
  </si>
  <si>
    <t>3.4</t>
  </si>
  <si>
    <t>Tarifa Técnica de Remuneração</t>
  </si>
  <si>
    <t>3.2.2</t>
  </si>
  <si>
    <t>3.2.3</t>
  </si>
  <si>
    <t>Componentes de Custo</t>
  </si>
  <si>
    <t>Anos do Contrato</t>
  </si>
  <si>
    <t>PLANO DE RENOVAÇÃO DA FROTA</t>
  </si>
  <si>
    <t>frota ano anterior</t>
  </si>
  <si>
    <t>Compras</t>
  </si>
  <si>
    <t>Vendas</t>
  </si>
  <si>
    <t>frota no ano</t>
  </si>
  <si>
    <t>Valores</t>
  </si>
  <si>
    <t>valores residuais</t>
  </si>
  <si>
    <t>depreciação anual</t>
  </si>
  <si>
    <t>remuneração anual</t>
  </si>
  <si>
    <t>depreciação</t>
  </si>
  <si>
    <t>remuneração</t>
  </si>
  <si>
    <t>Preço ch.+carro-Miniônibus</t>
  </si>
  <si>
    <t>Preço ch.+carro-Midiônibus</t>
  </si>
  <si>
    <t>Preço ch.+carro-Básico</t>
  </si>
  <si>
    <t>Mini</t>
  </si>
  <si>
    <t>Midi</t>
  </si>
  <si>
    <t>Básico</t>
  </si>
  <si>
    <t>anual total</t>
  </si>
  <si>
    <t>Preço rodagem</t>
  </si>
  <si>
    <t>depreciação acumulada</t>
  </si>
  <si>
    <t>valor residual</t>
  </si>
  <si>
    <t>ano</t>
  </si>
  <si>
    <t>percentual</t>
  </si>
  <si>
    <t>valor</t>
  </si>
  <si>
    <t>chassi+carroc</t>
  </si>
  <si>
    <t>rodagem</t>
  </si>
  <si>
    <t>valor total</t>
  </si>
  <si>
    <t>Tot</t>
  </si>
  <si>
    <t>Média de idade</t>
  </si>
  <si>
    <t>FIM DO CONTRATO</t>
  </si>
  <si>
    <t>Tarifa Pública - Sistema Urbano</t>
  </si>
  <si>
    <t>Tarifa Técnica de Referência</t>
  </si>
  <si>
    <t>Tarifa Técnica de Remuneração  - PROPOSTA</t>
  </si>
  <si>
    <t>% de desconto da Proposta</t>
  </si>
  <si>
    <t>TIR Projeto Descontada</t>
  </si>
  <si>
    <t>Anos de Concessão</t>
  </si>
  <si>
    <r>
      <t xml:space="preserve">Subsídio Mensal - </t>
    </r>
    <r>
      <rPr>
        <i/>
        <sz val="10"/>
        <rFont val="Calibri"/>
        <family val="2"/>
        <scheme val="minor"/>
      </rPr>
      <t>Previsão Inicial</t>
    </r>
  </si>
  <si>
    <t>Taxa de Financiamento</t>
  </si>
  <si>
    <t>Taxa de Reinvestimento</t>
  </si>
  <si>
    <t>WACC</t>
  </si>
  <si>
    <t>Valor Presente Líquido - VPL</t>
  </si>
  <si>
    <t>Payback</t>
  </si>
  <si>
    <t>Máxima Exposição</t>
  </si>
  <si>
    <t>Unidade</t>
  </si>
  <si>
    <t>Demanda Equivalente Anual - Total</t>
  </si>
  <si>
    <t>Pas</t>
  </si>
  <si>
    <t>Produção Quilométrica Anual</t>
  </si>
  <si>
    <t>Tarifa Pública - Pagantes</t>
  </si>
  <si>
    <t>Receita Tarifaria - Estimada</t>
  </si>
  <si>
    <t>R$ mil</t>
  </si>
  <si>
    <t>Subsídio Poder Concedente</t>
  </si>
  <si>
    <t>Publicidade e Propaganda</t>
  </si>
  <si>
    <t>SELIC</t>
  </si>
  <si>
    <t>Dólar Médio</t>
  </si>
  <si>
    <t>Impostos Lucro Real</t>
  </si>
  <si>
    <t>ISSQN</t>
  </si>
  <si>
    <t>PIS</t>
  </si>
  <si>
    <t>COFINS</t>
  </si>
  <si>
    <t>Imposto de Renda</t>
  </si>
  <si>
    <t>Imposto de Renda (acima de 60 mil no TRI)</t>
  </si>
  <si>
    <t>CSLL</t>
  </si>
  <si>
    <t>INSS</t>
  </si>
  <si>
    <t>Taxas de Juros (% ao ano)</t>
  </si>
  <si>
    <t>Rendimento Superávit de Caixa</t>
  </si>
  <si>
    <t xml:space="preserve"> </t>
  </si>
  <si>
    <t>Custo Médio de Capital</t>
  </si>
  <si>
    <t>Estratégia de Aporte de Capital</t>
  </si>
  <si>
    <t>Capital Próprio</t>
  </si>
  <si>
    <t>Capital de Terceiros</t>
  </si>
  <si>
    <t>Outorga</t>
  </si>
  <si>
    <t>Tarifas - Considerada</t>
  </si>
  <si>
    <t>Receita Operacional Bruta</t>
  </si>
  <si>
    <t>Receita não operacional</t>
  </si>
  <si>
    <t>Receita Total Bruta</t>
  </si>
  <si>
    <t>Outros impostos</t>
  </si>
  <si>
    <t>Deduções da Receita</t>
  </si>
  <si>
    <t>Receita Total Líquida</t>
  </si>
  <si>
    <t>Custos de Pessoal</t>
  </si>
  <si>
    <t>Custos Administrativos</t>
  </si>
  <si>
    <t>Custo operacional</t>
  </si>
  <si>
    <t>Depreciação do Capital</t>
  </si>
  <si>
    <t>Custo Gerencial</t>
  </si>
  <si>
    <t>Resultado Operacional</t>
  </si>
  <si>
    <t>EBIT</t>
  </si>
  <si>
    <t>Margem EBIT</t>
  </si>
  <si>
    <t>EBITDA</t>
  </si>
  <si>
    <t>Margem EBTIDA</t>
  </si>
  <si>
    <t>Lucro antes do IR/CSLL</t>
  </si>
  <si>
    <t>IR/CSLL</t>
  </si>
  <si>
    <t>IR</t>
  </si>
  <si>
    <t>IR Adicional</t>
  </si>
  <si>
    <t>CSSL</t>
  </si>
  <si>
    <t>NOPAT - Lucro Líquido do Exercício</t>
  </si>
  <si>
    <t>Margem Líquida</t>
  </si>
  <si>
    <t>(=) EBITDA</t>
  </si>
  <si>
    <t>(-) Investimentos (Capex)</t>
  </si>
  <si>
    <t>(-) Imposto de Renda / Contribuição Social</t>
  </si>
  <si>
    <t>(=) Fluxo Caixa Disponível Empresa (FCDE)</t>
  </si>
  <si>
    <t>(+) Novos Financiamentos</t>
  </si>
  <si>
    <t>(+) Aporte de Capital</t>
  </si>
  <si>
    <t>(-) Amortizações de Financiamentos</t>
  </si>
  <si>
    <t>(-) Despesas Financeiras</t>
  </si>
  <si>
    <t>(=) Fluxo de Caixa do Período</t>
  </si>
  <si>
    <t>(+) Saldo Inicial de Caixa</t>
  </si>
  <si>
    <t>(=) Fluxo de Caixa Final - Projeto</t>
  </si>
  <si>
    <t>Depreciação do capital</t>
  </si>
  <si>
    <t>Edificações</t>
  </si>
  <si>
    <t>Equipamentos de Garagem</t>
  </si>
  <si>
    <t>Equipamentos de bilhetagem e ITS</t>
  </si>
  <si>
    <t>Depreciação Total</t>
  </si>
  <si>
    <t>Percentual Outorga (sobre o valor global do contrato)</t>
  </si>
  <si>
    <t>Investimentos (CAPEX)</t>
  </si>
  <si>
    <t>Aporte / Retirada de Capital</t>
  </si>
  <si>
    <t>Projeto PMI</t>
  </si>
  <si>
    <t>Veículos</t>
  </si>
  <si>
    <t>Terrenos</t>
  </si>
  <si>
    <t>Venda de Veículos</t>
  </si>
  <si>
    <t>Venda de Terrenos</t>
  </si>
  <si>
    <t>Venda de Edificações</t>
  </si>
  <si>
    <t>Venda de Equipamentos de Garagem</t>
  </si>
  <si>
    <t>Venda de Equipamentos de bilhetagem e ITS</t>
  </si>
  <si>
    <t>Venda de Infraestrutura</t>
  </si>
  <si>
    <t>Total CAPEX - Estimado</t>
  </si>
  <si>
    <t>Data de Início</t>
  </si>
  <si>
    <t>Taxa de Desconto</t>
  </si>
  <si>
    <t>Anos</t>
  </si>
  <si>
    <t>Fluxo de Caixa</t>
  </si>
  <si>
    <t>Valor Presente</t>
  </si>
  <si>
    <t>Fluxo Caixa Descontado Acumulado</t>
  </si>
  <si>
    <t xml:space="preserve">PAYBACK </t>
  </si>
  <si>
    <t>Descrição</t>
  </si>
  <si>
    <t>Valor</t>
  </si>
  <si>
    <t>Taxa Livre de Risco (Yield US T-Bond 20 anos)</t>
  </si>
  <si>
    <t>Risco País (EBMI+)</t>
  </si>
  <si>
    <t>Beta Alavancado</t>
  </si>
  <si>
    <t>índice</t>
  </si>
  <si>
    <t>Coeficiente Beta Realavancado conforme estrutura de capital e impostos</t>
  </si>
  <si>
    <t>Prêmio de Risco de Mercado</t>
  </si>
  <si>
    <t>Prêmio de Risco do Mercado de Ações (S&amp;P500 Média 15 anos) - Retorno de LP Mercado Acionário dos EUA</t>
  </si>
  <si>
    <t>Inflação</t>
  </si>
  <si>
    <t>Custo do Capital Próprio Nominal</t>
  </si>
  <si>
    <t>Selic</t>
  </si>
  <si>
    <t xml:space="preserve">Custo de Capital de Terceiros </t>
  </si>
  <si>
    <t>Spread</t>
  </si>
  <si>
    <t>Benefício IR / CS</t>
  </si>
  <si>
    <t>Lucro Real</t>
  </si>
  <si>
    <t>Custo do Capital Terceiros Nominal</t>
  </si>
  <si>
    <t>Média</t>
  </si>
  <si>
    <t>Participação de Capital Próprio</t>
  </si>
  <si>
    <t>Premissa</t>
  </si>
  <si>
    <t>BR_IPCA</t>
  </si>
  <si>
    <t>Fonte</t>
  </si>
  <si>
    <t>Participação de Capital de Terceiros</t>
  </si>
  <si>
    <t>US_IPC</t>
  </si>
  <si>
    <t>WACC Nominal</t>
  </si>
  <si>
    <t>Diferencial da Inflação</t>
  </si>
  <si>
    <t>TLP</t>
  </si>
  <si>
    <t>Variável</t>
  </si>
  <si>
    <t>Num</t>
  </si>
  <si>
    <t>Coeficiente Beta Realavancado conforme estrutura de capital e impostos e taxas sobre a renda de indústria correlata ou ideal.</t>
  </si>
  <si>
    <t>D/E Ratio - Referência</t>
  </si>
  <si>
    <t xml:space="preserve">Beta desalavancado - Referência </t>
  </si>
  <si>
    <t>Tax Rate - Target</t>
  </si>
  <si>
    <t>Impostos IR/CS (Lucro real no Brasil)</t>
  </si>
  <si>
    <t>Beta Realavancado</t>
  </si>
  <si>
    <r>
      <rPr>
        <b/>
        <sz val="20"/>
        <rFont val="Calibri"/>
        <family val="2"/>
      </rPr>
      <t>Tarifa Técnica de Referência</t>
    </r>
    <r>
      <rPr>
        <sz val="20"/>
        <rFont val="Calibri"/>
        <family val="2"/>
      </rPr>
      <t>.........................................................................................................................................................................................................................</t>
    </r>
  </si>
  <si>
    <r>
      <rPr>
        <b/>
        <sz val="20"/>
        <rFont val="Calibri"/>
        <family val="2"/>
      </rPr>
      <t>Tarifa Técnica de Remuneração</t>
    </r>
    <r>
      <rPr>
        <sz val="20"/>
        <rFont val="Calibri"/>
        <family val="2"/>
      </rPr>
      <t>.........................................................................................................................................................................................................................</t>
    </r>
  </si>
  <si>
    <r>
      <rPr>
        <b/>
        <sz val="20"/>
        <rFont val="Calibri"/>
        <family val="2"/>
      </rPr>
      <t>Percentual de Desconto</t>
    </r>
    <r>
      <rPr>
        <sz val="20"/>
        <rFont val="Calibri"/>
        <family val="2"/>
      </rPr>
      <t>.........................................................................................................................................................................................................................</t>
    </r>
  </si>
  <si>
    <t>Custos com Outras Despesas</t>
  </si>
  <si>
    <t>Custos Ambientais</t>
  </si>
  <si>
    <t>Fator de correlação entre os custos ambientais e o preço médio do ônibus básico novo</t>
  </si>
  <si>
    <t>Taxa do Sistema Especial de Liquidação e de Custódia (SELIC) - Média 24 meses</t>
  </si>
  <si>
    <t>Índice Nacional de Preços ao Consumidor Amplo (IPCA) - Média 24 meses</t>
  </si>
  <si>
    <t>Despesas gerais</t>
  </si>
  <si>
    <t>DPVAT e licenciamento</t>
  </si>
  <si>
    <t>Seguros</t>
  </si>
  <si>
    <t>Outras despesas operacionais</t>
  </si>
  <si>
    <t>Combustível</t>
  </si>
  <si>
    <t>Lubrificantes</t>
  </si>
  <si>
    <t>ARLA 32</t>
  </si>
  <si>
    <t>Material de rodagem</t>
  </si>
  <si>
    <t>Peças e acessórios</t>
  </si>
  <si>
    <t>Operação</t>
  </si>
  <si>
    <t>Manutenção, administrativo e diretoria</t>
  </si>
  <si>
    <t>Locação dos equipamentos e sistemas de bilhetagem e ITS</t>
  </si>
  <si>
    <t>Locação de garagem</t>
  </si>
  <si>
    <t>Locação de veículos de Apoio</t>
  </si>
  <si>
    <t>1,3% a.a.</t>
  </si>
  <si>
    <t>Receita Bruta</t>
  </si>
  <si>
    <t>Valor do Contrato (Total de Investimentos)</t>
  </si>
  <si>
    <t>Cálculo do WACC</t>
  </si>
  <si>
    <t>Cálculo do Beta Realavancado</t>
  </si>
  <si>
    <t>Inflação (IPCA)</t>
  </si>
  <si>
    <t>ALEXANDER, Ian &amp; Estache, Antonio &amp; Oliveri, Adele, "A few things transport regulators should know about risk and the cost of capital," Policy Research Working Paper Series 2151, The World Bank, 1999.</t>
  </si>
  <si>
    <t>Item</t>
  </si>
  <si>
    <t>Fator</t>
  </si>
  <si>
    <t>BNDES</t>
  </si>
  <si>
    <t>Remuneração Básica BNDES</t>
  </si>
  <si>
    <t>Taxa do Agente</t>
  </si>
  <si>
    <t>Custo do Capital Terceiros</t>
  </si>
  <si>
    <t>Risco do Mercado de Ações</t>
  </si>
  <si>
    <t>Cálculo do Custo de Capital de Terceiros</t>
  </si>
  <si>
    <t xml:space="preserve">Fonte </t>
  </si>
  <si>
    <t>Taxa de Desconto - Taxa de Remuneração do Capital</t>
  </si>
  <si>
    <t>Cálculo Tarifário</t>
  </si>
  <si>
    <t>Há 107 (cento e sete) células a serem preenchidas nessa aba</t>
  </si>
  <si>
    <t>Payback (anos)</t>
  </si>
  <si>
    <t>Integração</t>
  </si>
  <si>
    <t>Cenário Macro-econômico (Focus - 08/12/2023)</t>
  </si>
  <si>
    <t>Três Lagoas - MS</t>
  </si>
  <si>
    <t>Acumulado 12 meses - 12/2022 a 11/2023. Link: &lt;http://www.bcb.gov.br/pt-br#!/home&gt; em 14/12/2023</t>
  </si>
  <si>
    <t>Acumulado 12 meses - 12/2022 a 11/2023. Link: &lt;https://www.inflation.eu/pt/taxas-de-inflacao/estados-unidos/inflacao-historica/ipc-inflacao-estados-unidos-2023.aspx&gt; em 14/12/2023</t>
  </si>
  <si>
    <t>IPCA + 5,56% a.a.</t>
  </si>
  <si>
    <t>BNDES – Novembro 2023 - Link &lt;https://www.bndes.gov.br/wps/portal/site/home/financiamento/guia/custos-financeiros/tlp-taxa-de-longo-prazo&gt; em 14/12/2023</t>
  </si>
  <si>
    <t>Yield US T-Bond 20 anos - Média de 15 anos - Link: &lt;https://fred.stlouisfed.org/series/DGS20&gt; em 14/12/2023</t>
  </si>
  <si>
    <t>Base "Índice de Títulos de Mercados Emergentes" - Média de 15 anos - Link: &lt;http://ipeadata.gov.br/ExibeSerie.aspx?serid=40940&amp;module=M&gt; em 14/12/2023</t>
  </si>
  <si>
    <t>Rendimento do S&amp;P 500 (média de 15 anos). Fonte: Damodaran On-line - Link: &lt;http://pages.stern.nyu.edu/~adamodar/&gt; em 14/12/2023</t>
  </si>
  <si>
    <t>Pass. Equivalente - Média mensal Ano 1</t>
  </si>
  <si>
    <r>
      <t xml:space="preserve">Planilha de Custos - Referência Edital </t>
    </r>
    <r>
      <rPr>
        <i/>
        <sz val="14"/>
        <color rgb="FFFF0000"/>
        <rFont val="Calibri"/>
        <family val="2"/>
        <scheme val="minor"/>
      </rPr>
      <t>(atualizado em 14/12/2023)</t>
    </r>
  </si>
  <si>
    <t>Média 24-27</t>
  </si>
  <si>
    <t>Há 280 (duzentas e oitenta) células a serem preenchidas nessa aba</t>
  </si>
  <si>
    <t>Valor do Contrato - Período de 15 anos</t>
  </si>
  <si>
    <t>Tarifa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</si>
</sst>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5" formatCode="&quot;R$&quot;\ #,##0;\-&quot;R$&quot;\ #,##0"/>
    <numFmt numFmtId="7" formatCode="&quot;R$&quot;\ #,##0.00;\-&quot;R$&quot;\ #,##0.00"/>
    <numFmt numFmtId="8" formatCode="&quot;R$&quot;\ #,##0.00;[Red]\-&quot;R$&quot;\ #,##0.00"/>
    <numFmt numFmtId="44" formatCode="_-&quot;R$&quot;\ * #,##0.00_-;\-&quot;R$&quot;\ * #,##0.00_-;_-&quot;R$&quot;\ * &quot;-&quot;??_-;_-@_-"/>
    <numFmt numFmtId="43" formatCode="_-* #,##0.00_-;\-* #,##0.00_-;_-* &quot;-&quot;??_-;_-@_-"/>
    <numFmt numFmtId="164" formatCode="_(* #,##0.00_);_(* \(#,##0.00\);_(* &quot;-&quot;??_);_(@_)"/>
    <numFmt numFmtId="165" formatCode="_(&quot;R$&quot;* #,##0.00_);_(&quot;R$&quot;* \(#,##0.00\);_(&quot;R$&quot;* &quot;-&quot;??_);_(@_)"/>
    <numFmt numFmtId="166" formatCode="_-* #,##0_-;\-* #,##0_-;_-* &quot;-&quot;??_-;_-@_-"/>
    <numFmt numFmtId="167" formatCode="#,##0_ ;\-#,##0\ "/>
    <numFmt numFmtId="168" formatCode="#,##0.00000"/>
    <numFmt numFmtId="169" formatCode="#,##0.00_ ;\-#,##0.00\ "/>
    <numFmt numFmtId="170" formatCode="#,##0.00000_ ;\-#,##0.00000\ "/>
    <numFmt numFmtId="171" formatCode="_-* #,##0.000_-;\-* #,##0.000_-;_-* &quot;-&quot;??_-;_-@_-"/>
    <numFmt numFmtId="172" formatCode="_-* #,##0.0000_-;\-* #,##0.0000_-;_-* &quot;-&quot;??_-;_-@_-"/>
    <numFmt numFmtId="173" formatCode="_-* #,##0.00000_-;\-* #,##0.00000_-;_-* &quot;-&quot;??_-;_-@_-"/>
    <numFmt numFmtId="174" formatCode="_-* #,##0.000000_-;\-* #,##0.000000_-;_-* &quot;-&quot;??_-;_-@_-"/>
    <numFmt numFmtId="175" formatCode="#,##0.000000_ ;\-#,##0.000000\ "/>
    <numFmt numFmtId="176" formatCode="0.0%"/>
    <numFmt numFmtId="177" formatCode="0.000"/>
    <numFmt numFmtId="178" formatCode="0.0000000000"/>
    <numFmt numFmtId="179" formatCode="0.00000"/>
    <numFmt numFmtId="180" formatCode="#,##0.00000000_ ;\-#,##0.00000000\ "/>
    <numFmt numFmtId="181" formatCode="#,##0.000"/>
    <numFmt numFmtId="182" formatCode="#,##0.0000"/>
    <numFmt numFmtId="183" formatCode="#,##0.0"/>
    <numFmt numFmtId="184" formatCode="h:mm;@"/>
    <numFmt numFmtId="185" formatCode="_(&quot;R$ &quot;* #,##0.00_);_(&quot;R$ &quot;* \(#,##0.00\);_(&quot;R$ &quot;* &quot;-&quot;??_);_(@_)"/>
    <numFmt numFmtId="186" formatCode="_(&quot;R$&quot;* #,##0.000_);_(&quot;R$&quot;* \(#,##0.000\);_(&quot;R$&quot;* &quot;-&quot;??_);_(@_)"/>
    <numFmt numFmtId="187" formatCode="#,##0.0000;\-#,##0.0000"/>
    <numFmt numFmtId="188" formatCode="_(* #,##0_);_(* \(#,##0\);_(* &quot;-&quot;??_);_(@_)"/>
    <numFmt numFmtId="189" formatCode="#,##0.00000;\-#,##0.00000"/>
    <numFmt numFmtId="190" formatCode="#,##0.000_ ;\-#,##0.000\ "/>
    <numFmt numFmtId="191" formatCode="_-&quot;R$&quot;\ * #,##0.000_-;\-&quot;R$&quot;\ * #,##0.000_-;_-&quot;R$&quot;\ * &quot;-&quot;???_-;_-@_-"/>
    <numFmt numFmtId="192" formatCode="_-* #,##0.000_-;\-* #,##0.000_-;_-* &quot;-&quot;???_-;_-@_-"/>
    <numFmt numFmtId="193" formatCode="&quot;R$&quot;\ #,##0.00"/>
    <numFmt numFmtId="194" formatCode="0.0000%"/>
    <numFmt numFmtId="195" formatCode="0.000%"/>
    <numFmt numFmtId="196" formatCode="#"/>
    <numFmt numFmtId="197" formatCode="00"/>
    <numFmt numFmtId="198" formatCode="&quot;R$ &quot;#,##0.00"/>
    <numFmt numFmtId="199" formatCode="_(* #,##0.00000_);_(* \(#,##0.00000\);_(* &quot;-&quot;??_);_(@_)"/>
    <numFmt numFmtId="200" formatCode="0.0000"/>
    <numFmt numFmtId="201" formatCode="#.00"/>
    <numFmt numFmtId="202" formatCode="_(* #,##0.000_);_(* \(#,##0.000\);_(* &quot;-&quot;_);_(@_)"/>
    <numFmt numFmtId="203" formatCode="#,##0;\(#,##0\)"/>
    <numFmt numFmtId="204" formatCode="#,##0.0;\(#,##0.0\)"/>
    <numFmt numFmtId="205" formatCode="#,##0.00;\(#,##0.00\)"/>
    <numFmt numFmtId="206" formatCode="_-&quot;R$&quot;\ * #,##0_-;\-&quot;R$&quot;\ * #,##0_-;_-&quot;R$&quot;\ * &quot;-&quot;??_-;_-@_-"/>
    <numFmt numFmtId="207" formatCode="#,##0.000;\(#,##0.000\)"/>
    <numFmt numFmtId="208" formatCode="#,##0.0000;\(#,##0.0000\)"/>
    <numFmt numFmtId="209" formatCode="0.0000000%"/>
    <numFmt numFmtId="210" formatCode="#,##0.00000;\(#,##0.00000\)"/>
    <numFmt numFmtId="211" formatCode="0.0"/>
  </numFmts>
  <fonts count="1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i/>
      <sz val="10"/>
      <name val="Arial"/>
      <family val="2"/>
    </font>
    <font>
      <b/>
      <i/>
      <sz val="10"/>
      <name val="Arial"/>
      <family val="2"/>
    </font>
    <font>
      <b/>
      <vertAlign val="subscript"/>
      <sz val="11"/>
      <color indexed="8"/>
      <name val="Calibri"/>
      <family val="2"/>
    </font>
    <font>
      <b/>
      <i/>
      <sz val="11"/>
      <name val="Calibri"/>
      <family val="2"/>
    </font>
    <font>
      <b/>
      <i/>
      <sz val="10"/>
      <color indexed="9"/>
      <name val="Calibri"/>
      <family val="2"/>
    </font>
    <font>
      <b/>
      <sz val="10"/>
      <color indexed="9"/>
      <name val="Calibri"/>
      <family val="2"/>
    </font>
    <font>
      <b/>
      <sz val="11"/>
      <name val="Calibri"/>
      <family val="2"/>
    </font>
    <font>
      <sz val="10"/>
      <name val="Arial"/>
      <family val="2"/>
    </font>
    <font>
      <i/>
      <sz val="8"/>
      <color indexed="8"/>
      <name val="Calibri"/>
      <family val="2"/>
    </font>
    <font>
      <b/>
      <sz val="11"/>
      <color indexed="9"/>
      <name val="Calibri"/>
      <family val="2"/>
    </font>
    <font>
      <b/>
      <sz val="9"/>
      <color indexed="9"/>
      <name val="Calibri"/>
      <family val="2"/>
    </font>
    <font>
      <b/>
      <sz val="8"/>
      <color indexed="9"/>
      <name val="Calibri"/>
      <family val="2"/>
    </font>
    <font>
      <b/>
      <i/>
      <sz val="8"/>
      <name val="Calibri"/>
      <family val="2"/>
    </font>
    <font>
      <b/>
      <sz val="12"/>
      <name val="Times New Roman"/>
      <family val="1"/>
    </font>
    <font>
      <b/>
      <sz val="10"/>
      <name val="Arial"/>
      <family val="2"/>
    </font>
    <font>
      <sz val="9"/>
      <color indexed="81"/>
      <name val="Tahoma"/>
      <family val="2"/>
    </font>
    <font>
      <b/>
      <sz val="9"/>
      <color indexed="81"/>
      <name val="Tahoma"/>
      <family val="2"/>
    </font>
    <font>
      <b/>
      <sz val="12"/>
      <color indexed="9"/>
      <name val="Calibri"/>
      <family val="2"/>
    </font>
    <font>
      <b/>
      <i/>
      <sz val="12"/>
      <color indexed="9"/>
      <name val="Times New Roman"/>
      <family val="1"/>
    </font>
    <font>
      <sz val="10"/>
      <name val="Arial"/>
      <family val="2"/>
    </font>
    <font>
      <b/>
      <sz val="8"/>
      <name val="Arial"/>
      <family val="2"/>
    </font>
    <font>
      <b/>
      <sz val="12"/>
      <name val="Arial"/>
      <family val="2"/>
    </font>
    <font>
      <sz val="7"/>
      <name val="Arial"/>
      <family val="2"/>
    </font>
    <font>
      <sz val="10"/>
      <name val="Arial"/>
      <family val="2"/>
    </font>
    <font>
      <u/>
      <sz val="10"/>
      <color indexed="12"/>
      <name val="Arial"/>
      <family val="2"/>
    </font>
    <font>
      <sz val="10"/>
      <name val="Arial"/>
      <family val="2"/>
    </font>
    <font>
      <b/>
      <i/>
      <sz val="11"/>
      <color indexed="9"/>
      <name val="Calibri"/>
      <family val="2"/>
    </font>
    <font>
      <b/>
      <i/>
      <vertAlign val="subscript"/>
      <sz val="11"/>
      <color indexed="8"/>
      <name val="Calibri"/>
      <family val="2"/>
    </font>
    <font>
      <i/>
      <sz val="11"/>
      <name val="Calibri"/>
      <family val="2"/>
    </font>
    <font>
      <sz val="12"/>
      <name val="Calibri"/>
      <family val="2"/>
    </font>
    <font>
      <b/>
      <i/>
      <sz val="11"/>
      <color indexed="8"/>
      <name val="Calibri"/>
      <family val="2"/>
    </font>
    <font>
      <b/>
      <i/>
      <sz val="10"/>
      <name val="Calibri"/>
      <family val="2"/>
    </font>
    <font>
      <b/>
      <sz val="10"/>
      <name val="Calibri"/>
      <family val="2"/>
    </font>
    <font>
      <b/>
      <sz val="10"/>
      <color indexed="8"/>
      <name val="Calibri"/>
      <family val="2"/>
    </font>
    <font>
      <b/>
      <i/>
      <sz val="12"/>
      <color indexed="9"/>
      <name val="Calibri"/>
      <family val="2"/>
    </font>
    <font>
      <sz val="10"/>
      <name val="Calibri"/>
      <family val="2"/>
    </font>
    <font>
      <sz val="12"/>
      <name val="Arial"/>
      <family val="2"/>
    </font>
    <font>
      <b/>
      <i/>
      <vertAlign val="superscript"/>
      <sz val="12"/>
      <color indexed="9"/>
      <name val="Arial"/>
      <family val="2"/>
    </font>
    <font>
      <b/>
      <i/>
      <vertAlign val="subscript"/>
      <sz val="12"/>
      <color indexed="9"/>
      <name val="Arial"/>
      <family val="2"/>
    </font>
    <font>
      <b/>
      <sz val="11"/>
      <color indexed="10"/>
      <name val="Calibri"/>
      <family val="2"/>
    </font>
    <font>
      <b/>
      <vertAlign val="superscript"/>
      <sz val="12"/>
      <color indexed="9"/>
      <name val="Calibri"/>
      <family val="2"/>
    </font>
    <font>
      <i/>
      <sz val="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11"/>
      <name val="Calibri"/>
      <family val="2"/>
      <scheme val="minor"/>
    </font>
    <font>
      <b/>
      <i/>
      <sz val="10"/>
      <name val="Calibri"/>
      <family val="2"/>
      <scheme val="minor"/>
    </font>
    <font>
      <b/>
      <sz val="10"/>
      <color theme="0"/>
      <name val="Calibri"/>
      <family val="2"/>
      <scheme val="minor"/>
    </font>
    <font>
      <i/>
      <sz val="11"/>
      <name val="Calibri"/>
      <family val="2"/>
      <scheme val="minor"/>
    </font>
    <font>
      <b/>
      <sz val="11"/>
      <name val="Calibri"/>
      <family val="2"/>
      <scheme val="minor"/>
    </font>
    <font>
      <i/>
      <sz val="11"/>
      <color theme="1"/>
      <name val="Calibri"/>
      <family val="2"/>
      <scheme val="minor"/>
    </font>
    <font>
      <b/>
      <i/>
      <sz val="11"/>
      <name val="Calibri"/>
      <family val="2"/>
      <scheme val="minor"/>
    </font>
    <font>
      <b/>
      <sz val="16"/>
      <name val="Calibri"/>
      <family val="2"/>
      <scheme val="minor"/>
    </font>
    <font>
      <b/>
      <sz val="18"/>
      <name val="Calibri"/>
      <family val="2"/>
      <scheme val="minor"/>
    </font>
    <font>
      <b/>
      <i/>
      <sz val="16"/>
      <name val="Calibri"/>
      <family val="2"/>
      <scheme val="minor"/>
    </font>
    <font>
      <sz val="10"/>
      <color rgb="FFFF0000"/>
      <name val="Arial"/>
      <family val="2"/>
    </font>
    <font>
      <i/>
      <sz val="10"/>
      <color rgb="FFFF0000"/>
      <name val="Arial"/>
      <family val="2"/>
    </font>
    <font>
      <b/>
      <sz val="10"/>
      <color theme="0"/>
      <name val="Arial"/>
      <family val="2"/>
    </font>
    <font>
      <b/>
      <sz val="16"/>
      <color theme="1"/>
      <name val="Calibri"/>
      <family val="2"/>
      <scheme val="minor"/>
    </font>
    <font>
      <sz val="12"/>
      <name val="Calibri"/>
      <family val="2"/>
      <scheme val="minor"/>
    </font>
    <font>
      <b/>
      <sz val="12"/>
      <color theme="0"/>
      <name val="Calibri"/>
      <family val="2"/>
    </font>
    <font>
      <b/>
      <sz val="12"/>
      <name val="Calibri"/>
      <family val="2"/>
      <scheme val="minor"/>
    </font>
    <font>
      <b/>
      <sz val="12"/>
      <color theme="0"/>
      <name val="Times New Roman"/>
      <family val="1"/>
    </font>
    <font>
      <b/>
      <i/>
      <sz val="11"/>
      <color theme="0"/>
      <name val="Calibri"/>
      <family val="2"/>
      <scheme val="minor"/>
    </font>
    <font>
      <b/>
      <sz val="12"/>
      <color theme="0"/>
      <name val="Calibri"/>
      <family val="2"/>
      <scheme val="minor"/>
    </font>
    <font>
      <b/>
      <i/>
      <sz val="12"/>
      <color theme="0"/>
      <name val="Calibri"/>
      <family val="2"/>
      <scheme val="minor"/>
    </font>
    <font>
      <sz val="10"/>
      <color theme="0"/>
      <name val="Arial"/>
      <family val="2"/>
    </font>
    <font>
      <b/>
      <sz val="9"/>
      <color rgb="FF000000"/>
      <name val="Calibri"/>
      <family val="2"/>
      <scheme val="minor"/>
    </font>
    <font>
      <sz val="9"/>
      <color rgb="FF000000"/>
      <name val="Calibri"/>
      <family val="2"/>
      <scheme val="minor"/>
    </font>
    <font>
      <b/>
      <i/>
      <sz val="11"/>
      <color theme="1"/>
      <name val="Calibri"/>
      <family val="2"/>
      <scheme val="minor"/>
    </font>
    <font>
      <b/>
      <i/>
      <sz val="16"/>
      <color theme="0"/>
      <name val="Calibri"/>
      <family val="2"/>
      <scheme val="minor"/>
    </font>
    <font>
      <sz val="10"/>
      <color theme="1"/>
      <name val="Arial"/>
      <family val="2"/>
    </font>
    <font>
      <b/>
      <sz val="10"/>
      <color rgb="FF000000"/>
      <name val="Calibri"/>
      <family val="2"/>
      <scheme val="minor"/>
    </font>
    <font>
      <sz val="10"/>
      <color rgb="FF000000"/>
      <name val="Calibri"/>
      <family val="2"/>
      <scheme val="minor"/>
    </font>
    <font>
      <sz val="10"/>
      <color rgb="FF000000"/>
      <name val="Calibri"/>
      <family val="2"/>
    </font>
    <font>
      <sz val="10"/>
      <color rgb="FFFF0000"/>
      <name val="Calibri"/>
      <family val="2"/>
      <scheme val="minor"/>
    </font>
    <font>
      <b/>
      <sz val="10"/>
      <name val="Calibri"/>
      <family val="2"/>
      <scheme val="minor"/>
    </font>
    <font>
      <sz val="9"/>
      <color theme="0"/>
      <name val="Calibri"/>
      <family val="2"/>
      <scheme val="minor"/>
    </font>
    <font>
      <b/>
      <vertAlign val="superscript"/>
      <sz val="12"/>
      <color theme="0"/>
      <name val="Arial"/>
      <family val="2"/>
    </font>
    <font>
      <sz val="10"/>
      <color theme="0"/>
      <name val="Calibri"/>
      <family val="2"/>
      <scheme val="minor"/>
    </font>
    <font>
      <b/>
      <sz val="12"/>
      <color theme="1"/>
      <name val="Calibri"/>
      <family val="2"/>
      <scheme val="minor"/>
    </font>
    <font>
      <b/>
      <i/>
      <sz val="12"/>
      <color theme="0"/>
      <name val="Symbol"/>
      <family val="1"/>
      <charset val="2"/>
    </font>
    <font>
      <b/>
      <i/>
      <sz val="12"/>
      <color theme="0"/>
      <name val="Times New Roman"/>
      <family val="1"/>
    </font>
    <font>
      <b/>
      <sz val="11"/>
      <color rgb="FFFF0000"/>
      <name val="Calibri"/>
      <family val="2"/>
      <scheme val="minor"/>
    </font>
    <font>
      <i/>
      <sz val="11"/>
      <color rgb="FFFF0000"/>
      <name val="Calibri"/>
      <family val="2"/>
      <scheme val="minor"/>
    </font>
    <font>
      <sz val="10"/>
      <color theme="1"/>
      <name val="Calibri"/>
      <family val="2"/>
      <scheme val="minor"/>
    </font>
    <font>
      <sz val="9"/>
      <color rgb="FFFF0000"/>
      <name val="Calibri"/>
      <family val="2"/>
      <scheme val="minor"/>
    </font>
    <font>
      <b/>
      <sz val="16"/>
      <color theme="0"/>
      <name val="Calibri"/>
      <family val="2"/>
      <scheme val="minor"/>
    </font>
    <font>
      <b/>
      <i/>
      <sz val="12"/>
      <name val="Calibri"/>
      <family val="2"/>
      <scheme val="minor"/>
    </font>
    <font>
      <b/>
      <i/>
      <sz val="12"/>
      <color rgb="FFFFFFFF"/>
      <name val="Calibri"/>
      <family val="2"/>
      <scheme val="minor"/>
    </font>
    <font>
      <b/>
      <sz val="12"/>
      <color rgb="FFFFFFFF"/>
      <name val="Calibri"/>
      <family val="2"/>
      <scheme val="minor"/>
    </font>
    <font>
      <b/>
      <sz val="9"/>
      <color theme="0"/>
      <name val="Calibri"/>
      <family val="2"/>
      <scheme val="minor"/>
    </font>
    <font>
      <b/>
      <sz val="12"/>
      <color indexed="9"/>
      <name val="Calibri"/>
      <family val="2"/>
      <scheme val="minor"/>
    </font>
    <font>
      <b/>
      <sz val="12"/>
      <color rgb="FFFFFFFF"/>
      <name val="Times New Roman"/>
      <family val="1"/>
    </font>
    <font>
      <sz val="11"/>
      <color rgb="FF9C6500"/>
      <name val="Calibri"/>
      <family val="2"/>
      <scheme val="minor"/>
    </font>
    <font>
      <b/>
      <sz val="10"/>
      <color rgb="FFFF0000"/>
      <name val="Calibri"/>
      <family val="2"/>
      <scheme val="minor"/>
    </font>
    <font>
      <i/>
      <sz val="10"/>
      <name val="Calibri"/>
      <family val="2"/>
      <scheme val="minor"/>
    </font>
    <font>
      <sz val="10"/>
      <name val="Times New Roman"/>
      <family val="1"/>
    </font>
    <font>
      <sz val="9"/>
      <color indexed="8"/>
      <name val="Arial"/>
      <family val="2"/>
    </font>
    <font>
      <sz val="8"/>
      <name val="Courier New"/>
      <family val="3"/>
    </font>
    <font>
      <i/>
      <sz val="8"/>
      <name val="Calibri"/>
      <family val="2"/>
      <scheme val="minor"/>
    </font>
    <font>
      <i/>
      <sz val="10"/>
      <color rgb="FFFF0000"/>
      <name val="Calibri"/>
      <family val="2"/>
      <scheme val="minor"/>
    </font>
    <font>
      <sz val="8"/>
      <name val="Arial"/>
      <family val="2"/>
    </font>
    <font>
      <b/>
      <sz val="14"/>
      <name val="Calibri"/>
      <family val="2"/>
      <scheme val="minor"/>
    </font>
    <font>
      <b/>
      <sz val="14"/>
      <color rgb="FFFF0000"/>
      <name val="Calibri"/>
      <family val="2"/>
      <scheme val="minor"/>
    </font>
    <font>
      <i/>
      <sz val="14"/>
      <color rgb="FFFF0000"/>
      <name val="Calibri"/>
      <family val="2"/>
      <scheme val="minor"/>
    </font>
    <font>
      <sz val="8"/>
      <name val="Calibri"/>
      <family val="2"/>
      <scheme val="minor"/>
    </font>
    <font>
      <sz val="8"/>
      <color indexed="10"/>
      <name val="Calibri"/>
      <family val="2"/>
      <scheme val="minor"/>
    </font>
    <font>
      <b/>
      <sz val="8"/>
      <name val="Calibri"/>
      <family val="2"/>
      <scheme val="minor"/>
    </font>
    <font>
      <sz val="8"/>
      <color rgb="FFFF0000"/>
      <name val="Calibri"/>
      <family val="2"/>
      <scheme val="minor"/>
    </font>
    <font>
      <b/>
      <sz val="8"/>
      <color indexed="10"/>
      <name val="Calibri"/>
      <family val="2"/>
      <scheme val="minor"/>
    </font>
    <font>
      <b/>
      <sz val="10"/>
      <color theme="1"/>
      <name val="Calibri"/>
      <family val="2"/>
      <scheme val="minor"/>
    </font>
    <font>
      <i/>
      <sz val="10"/>
      <color theme="1"/>
      <name val="Calibri"/>
      <family val="2"/>
      <scheme val="minor"/>
    </font>
    <font>
      <b/>
      <sz val="10"/>
      <color rgb="FF0000CC"/>
      <name val="Calibri"/>
      <family val="2"/>
      <scheme val="minor"/>
    </font>
    <font>
      <b/>
      <sz val="10"/>
      <color rgb="FF00B050"/>
      <name val="Calibri"/>
      <family val="2"/>
      <scheme val="minor"/>
    </font>
    <font>
      <sz val="10"/>
      <color theme="4"/>
      <name val="Calibri"/>
      <family val="2"/>
      <scheme val="minor"/>
    </font>
    <font>
      <sz val="10"/>
      <color rgb="FF00B050"/>
      <name val="Calibri"/>
      <family val="2"/>
      <scheme val="minor"/>
    </font>
    <font>
      <i/>
      <sz val="10"/>
      <color rgb="FF00B050"/>
      <name val="Calibri"/>
      <family val="2"/>
      <scheme val="minor"/>
    </font>
    <font>
      <i/>
      <sz val="10"/>
      <color rgb="FF0000CC"/>
      <name val="Calibri"/>
      <family val="2"/>
      <scheme val="minor"/>
    </font>
    <font>
      <sz val="10"/>
      <color rgb="FF0000CC"/>
      <name val="Calibri"/>
      <family val="2"/>
      <scheme val="minor"/>
    </font>
    <font>
      <sz val="11"/>
      <color rgb="FF00B050"/>
      <name val="Calibri"/>
      <family val="2"/>
      <scheme val="minor"/>
    </font>
    <font>
      <sz val="9"/>
      <color theme="1"/>
      <name val="Calibri"/>
      <family val="2"/>
      <scheme val="minor"/>
    </font>
    <font>
      <i/>
      <sz val="10"/>
      <color indexed="9"/>
      <name val="Calibri"/>
      <family val="2"/>
      <scheme val="minor"/>
    </font>
    <font>
      <i/>
      <sz val="10"/>
      <color indexed="18"/>
      <name val="Calibri"/>
      <family val="2"/>
      <scheme val="minor"/>
    </font>
    <font>
      <u/>
      <sz val="11"/>
      <color theme="10"/>
      <name val="Calibri"/>
      <family val="2"/>
      <scheme val="minor"/>
    </font>
    <font>
      <b/>
      <sz val="20"/>
      <name val="Calibri"/>
      <family val="2"/>
    </font>
    <font>
      <sz val="20"/>
      <name val="Calibri"/>
      <family val="2"/>
    </font>
    <font>
      <b/>
      <sz val="20"/>
      <name val="Calibri"/>
      <family val="2"/>
      <scheme val="minor"/>
    </font>
    <font>
      <sz val="8"/>
      <color theme="0"/>
      <name val="Calibri"/>
      <family val="2"/>
      <scheme val="minor"/>
    </font>
    <font>
      <u/>
      <sz val="10"/>
      <color theme="10"/>
      <name val="Arial"/>
      <family val="2"/>
    </font>
    <font>
      <u/>
      <sz val="10"/>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C0C0C0"/>
        <bgColor indexed="64"/>
      </patternFill>
    </fill>
    <fill>
      <patternFill patternType="solid">
        <fgColor rgb="FF00206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EB9C"/>
      </patternFill>
    </fill>
    <fill>
      <patternFill patternType="solid">
        <fgColor rgb="FFFFFF5D"/>
        <bgColor indexed="64"/>
      </patternFill>
    </fill>
    <fill>
      <patternFill patternType="solid">
        <fgColor indexed="9"/>
        <bgColor indexed="64"/>
      </patternFill>
    </fill>
    <fill>
      <patternFill patternType="solid">
        <fgColor rgb="FFFFF4BD"/>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indexed="23"/>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8"/>
      </top>
      <bottom style="hair">
        <color indexed="8"/>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style="double">
        <color auto="1"/>
      </left>
      <right style="double">
        <color auto="1"/>
      </right>
      <top/>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top style="hair">
        <color auto="1"/>
      </top>
      <bottom style="hair">
        <color auto="1"/>
      </bottom>
      <diagonal/>
    </border>
    <border>
      <left/>
      <right/>
      <top style="double">
        <color auto="1"/>
      </top>
      <bottom/>
      <diagonal/>
    </border>
    <border>
      <left style="double">
        <color auto="1"/>
      </left>
      <right/>
      <top style="double">
        <color auto="1"/>
      </top>
      <bottom/>
      <diagonal/>
    </border>
    <border>
      <left style="thin">
        <color indexed="64"/>
      </left>
      <right/>
      <top/>
      <bottom style="double">
        <color indexed="64"/>
      </bottom>
      <diagonal/>
    </border>
    <border>
      <left style="double">
        <color auto="1"/>
      </left>
      <right style="double">
        <color auto="1"/>
      </right>
      <top/>
      <bottom style="double">
        <color indexed="64"/>
      </bottom>
      <diagonal/>
    </border>
    <border>
      <left/>
      <right/>
      <top/>
      <bottom style="double">
        <color indexed="64"/>
      </bottom>
      <diagonal/>
    </border>
  </borders>
  <cellStyleXfs count="110">
    <xf numFmtId="0" fontId="0" fillId="0" borderId="0"/>
    <xf numFmtId="0" fontId="35" fillId="0" borderId="0" applyNumberFormat="0" applyFill="0" applyBorder="0" applyAlignment="0" applyProtection="0">
      <alignment vertical="top"/>
      <protection locked="0"/>
    </xf>
    <xf numFmtId="165" fontId="9" fillId="0" borderId="0" applyFont="0" applyFill="0" applyBorder="0" applyAlignment="0" applyProtection="0"/>
    <xf numFmtId="165" fontId="10"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85" fontId="55" fillId="0" borderId="0" applyFont="0" applyFill="0" applyBorder="0" applyAlignment="0" applyProtection="0"/>
    <xf numFmtId="165" fontId="10" fillId="0" borderId="0" applyFont="0" applyFill="0" applyBorder="0" applyAlignment="0" applyProtection="0"/>
    <xf numFmtId="165" fontId="34" fillId="0" borderId="0" applyFont="0" applyFill="0" applyBorder="0" applyAlignment="0" applyProtection="0"/>
    <xf numFmtId="165" fontId="10"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55" fillId="0" borderId="0"/>
    <xf numFmtId="0" fontId="18" fillId="0" borderId="0"/>
    <xf numFmtId="0" fontId="10" fillId="0" borderId="0"/>
    <xf numFmtId="0" fontId="10" fillId="0" borderId="0"/>
    <xf numFmtId="0" fontId="10" fillId="0" borderId="0"/>
    <xf numFmtId="0" fontId="55" fillId="0" borderId="0"/>
    <xf numFmtId="0" fontId="10" fillId="0" borderId="0"/>
    <xf numFmtId="0" fontId="55" fillId="0" borderId="0"/>
    <xf numFmtId="0" fontId="55" fillId="0" borderId="0"/>
    <xf numFmtId="0" fontId="10" fillId="0" borderId="0"/>
    <xf numFmtId="0" fontId="55" fillId="0" borderId="0"/>
    <xf numFmtId="0" fontId="55" fillId="0" borderId="0"/>
    <xf numFmtId="0" fontId="10" fillId="0" borderId="0"/>
    <xf numFmtId="0" fontId="55" fillId="0" borderId="0"/>
    <xf numFmtId="9" fontId="9"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43" fontId="5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5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34" fillId="0" borderId="0" applyFont="0" applyFill="0" applyBorder="0" applyAlignment="0" applyProtection="0"/>
    <xf numFmtId="164" fontId="10" fillId="0" borderId="0" applyFont="0" applyFill="0" applyBorder="0" applyAlignment="0" applyProtection="0"/>
    <xf numFmtId="164" fontId="36"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8" fillId="0" borderId="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110" fillId="28" borderId="0" applyNumberFormat="0" applyBorder="0" applyAlignment="0" applyProtection="0"/>
    <xf numFmtId="0" fontId="9" fillId="0" borderId="0"/>
    <xf numFmtId="9" fontId="9" fillId="0" borderId="0" applyFont="0" applyFill="0" applyBorder="0" applyAlignment="0" applyProtection="0"/>
    <xf numFmtId="0" fontId="113" fillId="0" borderId="0"/>
    <xf numFmtId="194" fontId="113" fillId="0" borderId="0" applyFont="0" applyFill="0" applyBorder="0" applyAlignment="0" applyProtection="0"/>
    <xf numFmtId="9" fontId="113" fillId="0" borderId="0" applyFont="0" applyFill="0" applyBorder="0" applyAlignment="0" applyProtection="0"/>
    <xf numFmtId="0" fontId="8" fillId="0" borderId="0"/>
    <xf numFmtId="0" fontId="9" fillId="0" borderId="0">
      <alignment vertical="center"/>
    </xf>
    <xf numFmtId="9" fontId="9" fillId="0" borderId="0" applyFont="0" applyFill="0" applyBorder="0" applyAlignment="0" applyProtection="0">
      <alignment vertical="center"/>
    </xf>
    <xf numFmtId="0" fontId="114" fillId="0" borderId="63" applyNumberFormat="0" applyFill="0" applyAlignment="0" applyProtection="0"/>
    <xf numFmtId="9" fontId="8" fillId="0" borderId="0" applyFont="0" applyFill="0" applyBorder="0" applyAlignment="0" applyProtection="0"/>
    <xf numFmtId="0" fontId="115" fillId="0" borderId="0" applyNumberFormat="0" applyFill="0" applyBorder="0" applyAlignment="0" applyProtection="0"/>
    <xf numFmtId="0" fontId="9" fillId="0" borderId="0"/>
    <xf numFmtId="43" fontId="8"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8"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0" fontId="140" fillId="0" borderId="0" applyNumberFormat="0" applyFill="0" applyBorder="0" applyAlignment="0" applyProtection="0"/>
    <xf numFmtId="43" fontId="3" fillId="0" borderId="0" applyFont="0" applyFill="0" applyBorder="0" applyAlignment="0" applyProtection="0"/>
    <xf numFmtId="0" fontId="145" fillId="0" borderId="0" applyNumberFormat="0" applyFill="0" applyBorder="0" applyAlignment="0" applyProtection="0"/>
  </cellStyleXfs>
  <cellXfs count="1379">
    <xf numFmtId="0" fontId="0" fillId="0" borderId="0" xfId="0"/>
    <xf numFmtId="39" fontId="55" fillId="2" borderId="1" xfId="56" applyNumberFormat="1" applyFont="1" applyFill="1" applyBorder="1" applyAlignment="1">
      <alignment horizontal="center" vertical="center"/>
    </xf>
    <xf numFmtId="43" fontId="59" fillId="3" borderId="1" xfId="56" applyFont="1" applyFill="1" applyBorder="1"/>
    <xf numFmtId="0" fontId="60" fillId="0" borderId="0" xfId="0" applyFont="1"/>
    <xf numFmtId="0" fontId="61" fillId="0" borderId="0" xfId="0" applyFont="1" applyAlignment="1">
      <alignment horizontal="center" vertical="center"/>
    </xf>
    <xf numFmtId="0" fontId="60" fillId="0" borderId="0" xfId="0" applyFont="1" applyAlignment="1">
      <alignment horizontal="center"/>
    </xf>
    <xf numFmtId="0" fontId="62" fillId="0" borderId="0" xfId="0" applyFont="1" applyAlignment="1">
      <alignment horizontal="left" vertical="center" wrapText="1"/>
    </xf>
    <xf numFmtId="0" fontId="60" fillId="0" borderId="0" xfId="0" applyFont="1" applyAlignment="1">
      <alignment horizontal="center" wrapText="1"/>
    </xf>
    <xf numFmtId="0" fontId="62" fillId="0" borderId="0" xfId="0" applyFont="1" applyAlignment="1">
      <alignment horizontal="left" wrapText="1"/>
    </xf>
    <xf numFmtId="0" fontId="60" fillId="0" borderId="0" xfId="0" applyFont="1" applyAlignment="1">
      <alignment wrapText="1"/>
    </xf>
    <xf numFmtId="0" fontId="60" fillId="2" borderId="1" xfId="0" applyFont="1" applyFill="1" applyBorder="1" applyAlignment="1">
      <alignment horizontal="center"/>
    </xf>
    <xf numFmtId="0" fontId="64" fillId="0" borderId="0" xfId="0" applyFont="1"/>
    <xf numFmtId="0" fontId="65" fillId="0" borderId="0" xfId="0" applyFont="1"/>
    <xf numFmtId="0" fontId="66" fillId="0" borderId="0" xfId="16" applyFont="1"/>
    <xf numFmtId="0" fontId="67" fillId="0" borderId="0" xfId="0" applyFont="1" applyAlignment="1">
      <alignment horizontal="right"/>
    </xf>
    <xf numFmtId="166" fontId="59" fillId="3" borderId="1" xfId="56" applyNumberFormat="1" applyFont="1" applyFill="1" applyBorder="1"/>
    <xf numFmtId="0" fontId="64" fillId="0" borderId="0" xfId="0" applyFont="1" applyAlignment="1">
      <alignment horizontal="right"/>
    </xf>
    <xf numFmtId="7" fontId="55" fillId="3" borderId="1" xfId="56" applyNumberFormat="1" applyFont="1" applyFill="1" applyBorder="1"/>
    <xf numFmtId="0" fontId="11" fillId="0" borderId="0" xfId="0" applyFont="1"/>
    <xf numFmtId="0" fontId="18" fillId="0" borderId="0" xfId="0" applyFont="1" applyAlignment="1">
      <alignment horizontal="center"/>
    </xf>
    <xf numFmtId="0" fontId="0" fillId="0" borderId="0" xfId="0" applyAlignment="1">
      <alignment horizontal="center"/>
    </xf>
    <xf numFmtId="0" fontId="69" fillId="0" borderId="10" xfId="0" applyFont="1" applyBorder="1" applyAlignment="1">
      <alignment vertical="center" textRotation="90"/>
    </xf>
    <xf numFmtId="0" fontId="62" fillId="2" borderId="1" xfId="0" applyFont="1" applyFill="1" applyBorder="1" applyAlignment="1">
      <alignment horizontal="center" vertical="center" wrapText="1"/>
    </xf>
    <xf numFmtId="0" fontId="59" fillId="3" borderId="1" xfId="16" applyFont="1" applyFill="1" applyBorder="1" applyAlignment="1">
      <alignment horizontal="center" vertical="center"/>
    </xf>
    <xf numFmtId="39" fontId="55" fillId="8" borderId="1" xfId="56" applyNumberFormat="1" applyFont="1" applyFill="1" applyBorder="1" applyAlignment="1">
      <alignment horizontal="center" vertical="center"/>
    </xf>
    <xf numFmtId="3" fontId="60" fillId="8" borderId="1" xfId="0" applyNumberFormat="1" applyFont="1" applyFill="1" applyBorder="1" applyAlignment="1">
      <alignment horizontal="center"/>
    </xf>
    <xf numFmtId="0" fontId="12" fillId="0" borderId="0" xfId="0" applyFont="1"/>
    <xf numFmtId="0" fontId="12" fillId="0" borderId="0" xfId="0" applyFont="1" applyAlignment="1">
      <alignment vertical="center"/>
    </xf>
    <xf numFmtId="0" fontId="61" fillId="10" borderId="0" xfId="0" applyFont="1" applyFill="1"/>
    <xf numFmtId="0" fontId="64" fillId="10" borderId="0" xfId="0" applyFont="1" applyFill="1"/>
    <xf numFmtId="0" fontId="61" fillId="10" borderId="0" xfId="0" applyFont="1" applyFill="1" applyAlignment="1">
      <alignment vertical="center"/>
    </xf>
    <xf numFmtId="0" fontId="25" fillId="0" borderId="0" xfId="0" applyFont="1"/>
    <xf numFmtId="0" fontId="18" fillId="8" borderId="2" xfId="0" applyFont="1" applyFill="1" applyBorder="1" applyAlignment="1">
      <alignment horizontal="center"/>
    </xf>
    <xf numFmtId="43" fontId="0" fillId="8" borderId="13" xfId="0" applyNumberFormat="1" applyFill="1" applyBorder="1"/>
    <xf numFmtId="4" fontId="0" fillId="0" borderId="0" xfId="0" applyNumberFormat="1"/>
    <xf numFmtId="4" fontId="0" fillId="8" borderId="13" xfId="0" applyNumberFormat="1" applyFill="1" applyBorder="1"/>
    <xf numFmtId="0" fontId="73" fillId="11" borderId="2" xfId="0" applyFont="1" applyFill="1" applyBorder="1" applyAlignment="1">
      <alignment horizontal="center"/>
    </xf>
    <xf numFmtId="4" fontId="73" fillId="11" borderId="13" xfId="0" applyNumberFormat="1" applyFont="1" applyFill="1" applyBorder="1"/>
    <xf numFmtId="0" fontId="73" fillId="11" borderId="14" xfId="0" applyFont="1" applyFill="1" applyBorder="1" applyAlignment="1">
      <alignment horizontal="center"/>
    </xf>
    <xf numFmtId="0" fontId="18" fillId="8" borderId="14" xfId="0" applyFont="1" applyFill="1" applyBorder="1" applyAlignment="1">
      <alignment horizontal="center"/>
    </xf>
    <xf numFmtId="0" fontId="73" fillId="11" borderId="15" xfId="0" applyFont="1" applyFill="1" applyBorder="1" applyAlignment="1">
      <alignment horizontal="center"/>
    </xf>
    <xf numFmtId="0" fontId="18" fillId="8" borderId="16" xfId="0" applyFont="1" applyFill="1" applyBorder="1" applyAlignment="1">
      <alignment horizontal="center"/>
    </xf>
    <xf numFmtId="0" fontId="18" fillId="8" borderId="17" xfId="0" applyFont="1" applyFill="1" applyBorder="1" applyAlignment="1">
      <alignment horizontal="center"/>
    </xf>
    <xf numFmtId="0" fontId="18" fillId="8" borderId="11" xfId="0" applyFont="1" applyFill="1" applyBorder="1" applyAlignment="1">
      <alignment horizontal="center"/>
    </xf>
    <xf numFmtId="0" fontId="0" fillId="0" borderId="0" xfId="0" applyAlignment="1">
      <alignment vertical="center"/>
    </xf>
    <xf numFmtId="0" fontId="73" fillId="9" borderId="15" xfId="0" applyFont="1" applyFill="1" applyBorder="1" applyAlignment="1">
      <alignment horizontal="center"/>
    </xf>
    <xf numFmtId="0" fontId="73" fillId="9" borderId="14" xfId="0" applyFont="1" applyFill="1" applyBorder="1" applyAlignment="1">
      <alignment horizontal="center"/>
    </xf>
    <xf numFmtId="4" fontId="73" fillId="9" borderId="13" xfId="0" applyNumberFormat="1" applyFont="1" applyFill="1" applyBorder="1"/>
    <xf numFmtId="0" fontId="73" fillId="9" borderId="2" xfId="0" applyFont="1" applyFill="1" applyBorder="1" applyAlignment="1">
      <alignment horizontal="center"/>
    </xf>
    <xf numFmtId="43" fontId="73" fillId="9" borderId="13" xfId="0" applyNumberFormat="1" applyFont="1" applyFill="1" applyBorder="1"/>
    <xf numFmtId="9" fontId="73" fillId="11" borderId="13" xfId="30" applyFont="1" applyFill="1" applyBorder="1"/>
    <xf numFmtId="0" fontId="67" fillId="0" borderId="0" xfId="0" applyFont="1" applyAlignment="1">
      <alignment horizontal="left" vertical="center" wrapText="1"/>
    </xf>
    <xf numFmtId="0" fontId="67" fillId="2" borderId="1" xfId="0" applyFont="1" applyFill="1" applyBorder="1" applyAlignment="1">
      <alignment horizontal="center" vertical="center" wrapText="1"/>
    </xf>
    <xf numFmtId="0" fontId="69" fillId="0" borderId="0" xfId="0" applyFont="1" applyAlignment="1">
      <alignment vertical="center" textRotation="90"/>
    </xf>
    <xf numFmtId="9" fontId="0" fillId="0" borderId="0" xfId="30" applyFont="1" applyFill="1"/>
    <xf numFmtId="164" fontId="0" fillId="0" borderId="0" xfId="54" applyFont="1" applyFill="1"/>
    <xf numFmtId="10" fontId="0" fillId="0" borderId="0" xfId="0" applyNumberFormat="1"/>
    <xf numFmtId="168" fontId="73" fillId="9" borderId="13" xfId="0" applyNumberFormat="1" applyFont="1" applyFill="1" applyBorder="1"/>
    <xf numFmtId="10" fontId="0" fillId="0" borderId="0" xfId="30" applyNumberFormat="1" applyFont="1" applyFill="1"/>
    <xf numFmtId="4" fontId="73" fillId="11" borderId="14" xfId="0" applyNumberFormat="1" applyFont="1" applyFill="1" applyBorder="1"/>
    <xf numFmtId="0" fontId="61" fillId="0" borderId="0" xfId="0" applyFont="1"/>
    <xf numFmtId="0" fontId="67" fillId="0" borderId="0" xfId="0" applyFont="1"/>
    <xf numFmtId="43" fontId="10" fillId="0" borderId="0" xfId="0" applyNumberFormat="1" applyFont="1"/>
    <xf numFmtId="43" fontId="0" fillId="0" borderId="0" xfId="0" applyNumberFormat="1"/>
    <xf numFmtId="165" fontId="0" fillId="0" borderId="0" xfId="2" applyFont="1" applyFill="1"/>
    <xf numFmtId="44" fontId="0" fillId="0" borderId="0" xfId="0" applyNumberFormat="1"/>
    <xf numFmtId="0" fontId="62" fillId="0" borderId="0" xfId="0" applyFont="1" applyAlignment="1">
      <alignment horizontal="left"/>
    </xf>
    <xf numFmtId="4" fontId="62" fillId="0" borderId="0" xfId="0" applyNumberFormat="1" applyFont="1" applyAlignment="1">
      <alignment horizontal="left"/>
    </xf>
    <xf numFmtId="3" fontId="60" fillId="0" borderId="0" xfId="0" applyNumberFormat="1" applyFont="1"/>
    <xf numFmtId="16" fontId="0" fillId="0" borderId="0" xfId="0" quotePrefix="1" applyNumberFormat="1"/>
    <xf numFmtId="0" fontId="0" fillId="0" borderId="0" xfId="0" quotePrefix="1"/>
    <xf numFmtId="0" fontId="72" fillId="0" borderId="0" xfId="0" applyFont="1" applyAlignment="1">
      <alignment horizontal="left" vertical="center"/>
    </xf>
    <xf numFmtId="164" fontId="55" fillId="3" borderId="1" xfId="54" applyFont="1" applyFill="1" applyBorder="1"/>
    <xf numFmtId="172" fontId="55" fillId="7" borderId="1" xfId="56" applyNumberFormat="1" applyFont="1" applyFill="1" applyBorder="1"/>
    <xf numFmtId="174" fontId="55" fillId="15" borderId="1" xfId="56" applyNumberFormat="1" applyFont="1" applyFill="1" applyBorder="1" applyAlignment="1">
      <alignment vertical="center"/>
    </xf>
    <xf numFmtId="9" fontId="64" fillId="7" borderId="1" xfId="48" applyFont="1" applyFill="1" applyBorder="1"/>
    <xf numFmtId="9" fontId="64" fillId="7" borderId="1" xfId="36" applyFont="1" applyFill="1" applyBorder="1"/>
    <xf numFmtId="0" fontId="0" fillId="10" borderId="0" xfId="0" applyFill="1"/>
    <xf numFmtId="165" fontId="0" fillId="0" borderId="0" xfId="0" applyNumberFormat="1"/>
    <xf numFmtId="0" fontId="85" fillId="21" borderId="1" xfId="16" applyFont="1" applyFill="1" applyBorder="1" applyAlignment="1">
      <alignment horizontal="center" vertical="center"/>
    </xf>
    <xf numFmtId="0" fontId="85" fillId="21" borderId="13" xfId="16" applyFont="1" applyFill="1" applyBorder="1" applyAlignment="1">
      <alignment vertical="center"/>
    </xf>
    <xf numFmtId="0" fontId="79" fillId="9" borderId="2" xfId="16" applyFont="1" applyFill="1" applyBorder="1" applyAlignment="1">
      <alignment vertical="center"/>
    </xf>
    <xf numFmtId="0" fontId="79" fillId="9" borderId="13" xfId="16" applyFont="1" applyFill="1" applyBorder="1" applyAlignment="1">
      <alignment vertical="center"/>
    </xf>
    <xf numFmtId="37" fontId="55" fillId="3" borderId="1" xfId="56" applyNumberFormat="1" applyFont="1" applyFill="1" applyBorder="1" applyAlignment="1">
      <alignment horizontal="center" vertical="center"/>
    </xf>
    <xf numFmtId="0" fontId="14" fillId="0" borderId="0" xfId="0" applyFont="1" applyAlignment="1">
      <alignment horizontal="left"/>
    </xf>
    <xf numFmtId="0" fontId="59" fillId="21" borderId="2" xfId="16" applyFont="1" applyFill="1" applyBorder="1" applyAlignment="1">
      <alignment vertical="center"/>
    </xf>
    <xf numFmtId="0" fontId="17" fillId="0" borderId="0" xfId="0" applyFont="1" applyAlignment="1">
      <alignment horizontal="left"/>
    </xf>
    <xf numFmtId="0" fontId="64" fillId="0" borderId="0" xfId="0" applyFont="1" applyAlignment="1">
      <alignment horizontal="left"/>
    </xf>
    <xf numFmtId="0" fontId="39" fillId="0" borderId="0" xfId="0" applyFont="1" applyAlignment="1">
      <alignment horizontal="right"/>
    </xf>
    <xf numFmtId="0" fontId="12" fillId="0" borderId="0" xfId="0" applyFont="1" applyAlignment="1">
      <alignment horizontal="right"/>
    </xf>
    <xf numFmtId="0" fontId="12" fillId="0" borderId="0" xfId="0" applyFont="1" applyAlignment="1">
      <alignment horizontal="righ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xf>
    <xf numFmtId="0" fontId="14" fillId="0" borderId="0" xfId="0" applyFont="1"/>
    <xf numFmtId="0" fontId="75" fillId="15" borderId="11" xfId="0" applyFont="1" applyFill="1" applyBorder="1" applyAlignment="1">
      <alignment horizontal="center" vertical="center" wrapText="1"/>
    </xf>
    <xf numFmtId="43" fontId="55" fillId="15" borderId="1" xfId="56" applyFont="1" applyFill="1" applyBorder="1"/>
    <xf numFmtId="2" fontId="55" fillId="7" borderId="1" xfId="30" applyNumberFormat="1" applyFont="1" applyFill="1" applyBorder="1" applyAlignment="1">
      <alignment vertical="center"/>
    </xf>
    <xf numFmtId="164" fontId="55" fillId="7" borderId="1" xfId="54" applyFont="1" applyFill="1" applyBorder="1" applyAlignment="1">
      <alignment vertical="center"/>
    </xf>
    <xf numFmtId="164" fontId="55" fillId="15" borderId="1" xfId="54" applyFont="1" applyFill="1" applyBorder="1" applyAlignment="1">
      <alignment vertical="center"/>
    </xf>
    <xf numFmtId="0" fontId="64" fillId="10" borderId="0" xfId="0" applyFont="1" applyFill="1" applyAlignment="1">
      <alignment vertical="center"/>
    </xf>
    <xf numFmtId="4" fontId="60" fillId="10" borderId="0" xfId="0" applyNumberFormat="1" applyFont="1" applyFill="1" applyAlignment="1">
      <alignment horizontal="center" vertical="center"/>
    </xf>
    <xf numFmtId="181" fontId="60" fillId="10" borderId="1" xfId="18" applyNumberFormat="1" applyFont="1" applyFill="1" applyBorder="1" applyAlignment="1">
      <alignment horizontal="center" vertical="center"/>
    </xf>
    <xf numFmtId="0" fontId="60" fillId="0" borderId="0" xfId="0" applyFont="1" applyAlignment="1">
      <alignment horizontal="center" vertical="center"/>
    </xf>
    <xf numFmtId="0" fontId="88" fillId="10" borderId="1" xfId="0" applyFont="1" applyFill="1" applyBorder="1" applyAlignment="1">
      <alignment horizontal="center" vertical="center"/>
    </xf>
    <xf numFmtId="4" fontId="88" fillId="10" borderId="1" xfId="0" applyNumberFormat="1" applyFont="1" applyFill="1" applyBorder="1" applyAlignment="1">
      <alignment horizontal="center" vertical="center"/>
    </xf>
    <xf numFmtId="0" fontId="88" fillId="10" borderId="11" xfId="0" applyFont="1" applyFill="1" applyBorder="1" applyAlignment="1">
      <alignment horizontal="center" vertical="center"/>
    </xf>
    <xf numFmtId="0" fontId="89" fillId="0" borderId="1" xfId="0" applyFont="1" applyBorder="1" applyAlignment="1">
      <alignment horizontal="center"/>
    </xf>
    <xf numFmtId="177" fontId="60" fillId="10" borderId="1" xfId="0" applyNumberFormat="1" applyFont="1" applyFill="1" applyBorder="1" applyAlignment="1">
      <alignment horizontal="center" vertical="center"/>
    </xf>
    <xf numFmtId="10" fontId="60" fillId="10" borderId="1" xfId="32" applyNumberFormat="1" applyFont="1" applyFill="1" applyBorder="1" applyAlignment="1">
      <alignment horizontal="center" vertical="center"/>
    </xf>
    <xf numFmtId="0" fontId="90" fillId="0" borderId="1" xfId="0" applyFont="1" applyBorder="1" applyAlignment="1">
      <alignment horizontal="center"/>
    </xf>
    <xf numFmtId="0" fontId="91" fillId="0" borderId="0" xfId="0" applyFont="1" applyAlignment="1">
      <alignment horizontal="center"/>
    </xf>
    <xf numFmtId="37" fontId="55" fillId="2" borderId="1" xfId="56" applyNumberFormat="1" applyFont="1" applyFill="1" applyBorder="1" applyAlignment="1">
      <alignment horizontal="center" vertical="center"/>
    </xf>
    <xf numFmtId="165" fontId="55" fillId="2" borderId="1" xfId="2" applyFont="1" applyFill="1" applyBorder="1" applyAlignment="1">
      <alignment horizontal="center" vertical="center"/>
    </xf>
    <xf numFmtId="0" fontId="60" fillId="10" borderId="1" xfId="16" applyFont="1" applyFill="1" applyBorder="1" applyAlignment="1">
      <alignment horizontal="center" vertical="center"/>
    </xf>
    <xf numFmtId="0" fontId="60" fillId="10" borderId="1" xfId="16" applyFont="1" applyFill="1" applyBorder="1" applyAlignment="1">
      <alignment horizontal="center" wrapText="1"/>
    </xf>
    <xf numFmtId="0" fontId="60" fillId="10" borderId="1" xfId="16" applyFont="1" applyFill="1" applyBorder="1" applyAlignment="1">
      <alignment horizontal="center" vertical="center" wrapText="1"/>
    </xf>
    <xf numFmtId="0" fontId="92" fillId="10" borderId="11" xfId="16" applyFont="1" applyFill="1" applyBorder="1" applyAlignment="1">
      <alignment horizontal="center" vertical="center"/>
    </xf>
    <xf numFmtId="0" fontId="90" fillId="0" borderId="1" xfId="0" applyFont="1" applyBorder="1" applyAlignment="1">
      <alignment horizontal="center" vertical="center"/>
    </xf>
    <xf numFmtId="166" fontId="55" fillId="2" borderId="1" xfId="16" applyNumberFormat="1" applyFill="1" applyBorder="1" applyAlignment="1">
      <alignment horizontal="center" vertical="center"/>
    </xf>
    <xf numFmtId="164" fontId="55" fillId="7" borderId="1" xfId="57" applyFont="1" applyFill="1" applyBorder="1"/>
    <xf numFmtId="43" fontId="55" fillId="7" borderId="1" xfId="56" applyFont="1" applyFill="1" applyBorder="1"/>
    <xf numFmtId="43" fontId="55" fillId="7" borderId="1" xfId="56" applyFont="1" applyFill="1" applyBorder="1" applyAlignment="1">
      <alignment vertical="center"/>
    </xf>
    <xf numFmtId="0" fontId="82" fillId="0" borderId="0" xfId="0" applyFont="1"/>
    <xf numFmtId="0" fontId="94" fillId="12" borderId="9" xfId="0" applyFont="1" applyFill="1" applyBorder="1" applyAlignment="1">
      <alignment horizontal="center" vertical="center" wrapText="1"/>
    </xf>
    <xf numFmtId="0" fontId="91" fillId="0" borderId="0" xfId="0" applyFont="1"/>
    <xf numFmtId="0" fontId="80" fillId="12" borderId="39" xfId="0" applyFont="1" applyFill="1" applyBorder="1" applyAlignment="1">
      <alignment horizontal="center" vertical="center" wrapText="1"/>
    </xf>
    <xf numFmtId="0" fontId="80" fillId="12" borderId="9" xfId="0" applyFont="1" applyFill="1" applyBorder="1" applyAlignment="1">
      <alignment horizontal="center" vertical="center" wrapText="1"/>
    </xf>
    <xf numFmtId="0" fontId="95" fillId="12" borderId="39" xfId="0" applyFont="1" applyFill="1" applyBorder="1" applyAlignment="1">
      <alignment vertical="top" wrapText="1"/>
    </xf>
    <xf numFmtId="0" fontId="95" fillId="12" borderId="40" xfId="0" applyFont="1" applyFill="1" applyBorder="1" applyAlignment="1">
      <alignment vertical="top" wrapText="1"/>
    </xf>
    <xf numFmtId="0" fontId="75" fillId="15" borderId="9" xfId="0" applyFont="1" applyFill="1" applyBorder="1" applyAlignment="1">
      <alignment horizontal="center" vertical="center" wrapText="1"/>
    </xf>
    <xf numFmtId="0" fontId="60" fillId="10" borderId="0" xfId="0" applyFont="1" applyFill="1"/>
    <xf numFmtId="0" fontId="60" fillId="0" borderId="1" xfId="0" applyFont="1" applyBorder="1" applyAlignment="1">
      <alignment horizontal="center"/>
    </xf>
    <xf numFmtId="0" fontId="92" fillId="22" borderId="15" xfId="0" applyFont="1" applyFill="1" applyBorder="1"/>
    <xf numFmtId="0" fontId="60" fillId="22" borderId="41" xfId="0" applyFont="1" applyFill="1" applyBorder="1"/>
    <xf numFmtId="0" fontId="60" fillId="22" borderId="42" xfId="0" applyFont="1" applyFill="1" applyBorder="1"/>
    <xf numFmtId="165" fontId="60" fillId="22" borderId="0" xfId="2" applyFont="1" applyFill="1" applyBorder="1"/>
    <xf numFmtId="10" fontId="60" fillId="22" borderId="28" xfId="30" applyNumberFormat="1" applyFont="1" applyFill="1" applyBorder="1"/>
    <xf numFmtId="165" fontId="60" fillId="22" borderId="43" xfId="2" applyFont="1" applyFill="1" applyBorder="1"/>
    <xf numFmtId="10" fontId="60" fillId="22" borderId="44" xfId="30" applyNumberFormat="1" applyFont="1" applyFill="1" applyBorder="1"/>
    <xf numFmtId="165" fontId="60" fillId="22" borderId="1" xfId="2" applyFont="1" applyFill="1" applyBorder="1"/>
    <xf numFmtId="9" fontId="60" fillId="22" borderId="1" xfId="30" applyFont="1" applyFill="1" applyBorder="1"/>
    <xf numFmtId="0" fontId="92" fillId="23" borderId="15" xfId="0" applyFont="1" applyFill="1" applyBorder="1"/>
    <xf numFmtId="0" fontId="60" fillId="23" borderId="41" xfId="0" applyFont="1" applyFill="1" applyBorder="1"/>
    <xf numFmtId="0" fontId="60" fillId="23" borderId="42" xfId="0" applyFont="1" applyFill="1" applyBorder="1"/>
    <xf numFmtId="0" fontId="92" fillId="23" borderId="10" xfId="0" applyFont="1" applyFill="1" applyBorder="1"/>
    <xf numFmtId="0" fontId="60" fillId="23" borderId="0" xfId="0" applyFont="1" applyFill="1"/>
    <xf numFmtId="0" fontId="60" fillId="23" borderId="28" xfId="0" applyFont="1" applyFill="1" applyBorder="1"/>
    <xf numFmtId="165" fontId="60" fillId="23" borderId="0" xfId="2" applyFont="1" applyFill="1" applyBorder="1"/>
    <xf numFmtId="10" fontId="60" fillId="23" borderId="28" xfId="30" applyNumberFormat="1" applyFont="1" applyFill="1" applyBorder="1"/>
    <xf numFmtId="165" fontId="92" fillId="23" borderId="0" xfId="2" applyFont="1" applyFill="1" applyBorder="1" applyAlignment="1">
      <alignment horizontal="right"/>
    </xf>
    <xf numFmtId="10" fontId="92" fillId="23" borderId="28" xfId="30" applyNumberFormat="1" applyFont="1" applyFill="1" applyBorder="1" applyAlignment="1">
      <alignment horizontal="right"/>
    </xf>
    <xf numFmtId="165" fontId="92" fillId="23" borderId="0" xfId="2" applyFont="1" applyFill="1" applyBorder="1" applyAlignment="1">
      <alignment horizontal="center"/>
    </xf>
    <xf numFmtId="165" fontId="92" fillId="23" borderId="0" xfId="2" applyFont="1" applyFill="1" applyBorder="1"/>
    <xf numFmtId="10" fontId="92" fillId="23" borderId="28" xfId="30" applyNumberFormat="1" applyFont="1" applyFill="1" applyBorder="1"/>
    <xf numFmtId="0" fontId="92" fillId="23" borderId="10" xfId="0" applyFont="1" applyFill="1" applyBorder="1" applyAlignment="1">
      <alignment horizontal="left"/>
    </xf>
    <xf numFmtId="165" fontId="92" fillId="23" borderId="0" xfId="3" applyFont="1" applyFill="1" applyBorder="1" applyAlignment="1">
      <alignment horizontal="center"/>
    </xf>
    <xf numFmtId="165" fontId="92" fillId="23" borderId="28" xfId="3" applyFont="1" applyFill="1" applyBorder="1" applyAlignment="1">
      <alignment horizontal="center"/>
    </xf>
    <xf numFmtId="165" fontId="60" fillId="23" borderId="0" xfId="2" applyFont="1" applyFill="1" applyBorder="1" applyAlignment="1">
      <alignment horizontal="center"/>
    </xf>
    <xf numFmtId="10" fontId="60" fillId="23" borderId="28" xfId="30" applyNumberFormat="1" applyFont="1" applyFill="1" applyBorder="1" applyAlignment="1">
      <alignment horizontal="right"/>
    </xf>
    <xf numFmtId="165" fontId="92" fillId="23" borderId="43" xfId="2" applyFont="1" applyFill="1" applyBorder="1" applyAlignment="1">
      <alignment horizontal="center"/>
    </xf>
    <xf numFmtId="10" fontId="92" fillId="23" borderId="44" xfId="30" applyNumberFormat="1" applyFont="1" applyFill="1" applyBorder="1" applyAlignment="1">
      <alignment horizontal="right"/>
    </xf>
    <xf numFmtId="165" fontId="60" fillId="0" borderId="1" xfId="2" applyFont="1" applyBorder="1"/>
    <xf numFmtId="9" fontId="60" fillId="0" borderId="1" xfId="30" applyFont="1" applyBorder="1"/>
    <xf numFmtId="0" fontId="60" fillId="10" borderId="0" xfId="0" applyFont="1" applyFill="1" applyAlignment="1">
      <alignment horizontal="right"/>
    </xf>
    <xf numFmtId="165" fontId="60" fillId="24" borderId="1" xfId="2" applyFont="1" applyFill="1" applyBorder="1" applyAlignment="1">
      <alignment horizontal="center"/>
    </xf>
    <xf numFmtId="10" fontId="60" fillId="24" borderId="28" xfId="0" applyNumberFormat="1" applyFont="1" applyFill="1" applyBorder="1"/>
    <xf numFmtId="10" fontId="60" fillId="24" borderId="44" xfId="0" applyNumberFormat="1" applyFont="1" applyFill="1" applyBorder="1"/>
    <xf numFmtId="10" fontId="60" fillId="10" borderId="1" xfId="0" applyNumberFormat="1" applyFont="1" applyFill="1" applyBorder="1"/>
    <xf numFmtId="165" fontId="95" fillId="25" borderId="1" xfId="2" applyFont="1" applyFill="1" applyBorder="1"/>
    <xf numFmtId="3" fontId="73" fillId="11" borderId="13" xfId="0" applyNumberFormat="1" applyFont="1" applyFill="1" applyBorder="1"/>
    <xf numFmtId="0" fontId="82" fillId="10" borderId="0" xfId="0" applyFont="1" applyFill="1"/>
    <xf numFmtId="176" fontId="82" fillId="10" borderId="0" xfId="30" applyNumberFormat="1" applyFont="1" applyFill="1"/>
    <xf numFmtId="0" fontId="92" fillId="23" borderId="10" xfId="0" applyFont="1" applyFill="1" applyBorder="1" applyAlignment="1">
      <alignment horizontal="right"/>
    </xf>
    <xf numFmtId="0" fontId="60" fillId="22" borderId="10" xfId="0" applyFont="1" applyFill="1" applyBorder="1" applyAlignment="1">
      <alignment horizontal="left"/>
    </xf>
    <xf numFmtId="0" fontId="60" fillId="22" borderId="32" xfId="0" applyFont="1" applyFill="1" applyBorder="1" applyAlignment="1">
      <alignment horizontal="left"/>
    </xf>
    <xf numFmtId="0" fontId="92" fillId="26" borderId="2" xfId="0" applyFont="1" applyFill="1" applyBorder="1" applyAlignment="1">
      <alignment horizontal="right"/>
    </xf>
    <xf numFmtId="0" fontId="92" fillId="22" borderId="2" xfId="0" applyFont="1" applyFill="1" applyBorder="1" applyAlignment="1">
      <alignment horizontal="right"/>
    </xf>
    <xf numFmtId="0" fontId="63" fillId="25" borderId="2" xfId="0" applyFont="1" applyFill="1" applyBorder="1" applyAlignment="1">
      <alignment horizontal="right"/>
    </xf>
    <xf numFmtId="0" fontId="92" fillId="24" borderId="2" xfId="0" applyFont="1" applyFill="1" applyBorder="1" applyAlignment="1">
      <alignment horizontal="right"/>
    </xf>
    <xf numFmtId="0" fontId="92" fillId="23" borderId="32" xfId="0" applyFont="1" applyFill="1" applyBorder="1" applyAlignment="1">
      <alignment horizontal="right"/>
    </xf>
    <xf numFmtId="0" fontId="60" fillId="23" borderId="10" xfId="0" applyFont="1" applyFill="1" applyBorder="1" applyAlignment="1">
      <alignment horizontal="left" vertical="center"/>
    </xf>
    <xf numFmtId="0" fontId="92" fillId="23" borderId="2" xfId="0" applyFont="1" applyFill="1" applyBorder="1" applyAlignment="1">
      <alignment horizontal="right"/>
    </xf>
    <xf numFmtId="171" fontId="55" fillId="15" borderId="1" xfId="56" applyNumberFormat="1" applyFont="1" applyFill="1" applyBorder="1"/>
    <xf numFmtId="44" fontId="0" fillId="10" borderId="0" xfId="0" applyNumberFormat="1" applyFill="1"/>
    <xf numFmtId="44" fontId="60" fillId="23" borderId="0" xfId="2" applyNumberFormat="1" applyFont="1" applyFill="1" applyBorder="1"/>
    <xf numFmtId="4" fontId="60" fillId="23" borderId="28" xfId="0" applyNumberFormat="1" applyFont="1" applyFill="1" applyBorder="1" applyAlignment="1">
      <alignment horizontal="right"/>
    </xf>
    <xf numFmtId="3" fontId="60" fillId="23" borderId="28" xfId="0" applyNumberFormat="1" applyFont="1" applyFill="1" applyBorder="1" applyAlignment="1">
      <alignment horizontal="right"/>
    </xf>
    <xf numFmtId="177" fontId="60" fillId="23" borderId="28" xfId="0" applyNumberFormat="1" applyFont="1" applyFill="1" applyBorder="1" applyAlignment="1">
      <alignment horizontal="right"/>
    </xf>
    <xf numFmtId="0" fontId="67" fillId="10" borderId="0" xfId="0" applyFont="1" applyFill="1" applyAlignment="1">
      <alignment horizontal="right"/>
    </xf>
    <xf numFmtId="0" fontId="99" fillId="10" borderId="0" xfId="0" applyFont="1" applyFill="1" applyAlignment="1">
      <alignment horizontal="left"/>
    </xf>
    <xf numFmtId="0" fontId="100" fillId="10" borderId="0" xfId="0" applyFont="1" applyFill="1" applyAlignment="1">
      <alignment horizontal="left"/>
    </xf>
    <xf numFmtId="0" fontId="64" fillId="10" borderId="0" xfId="0" applyFont="1" applyFill="1" applyAlignment="1">
      <alignment horizontal="right"/>
    </xf>
    <xf numFmtId="0" fontId="100" fillId="10" borderId="0" xfId="0" applyFont="1" applyFill="1"/>
    <xf numFmtId="0" fontId="64" fillId="10" borderId="0" xfId="0" applyFont="1" applyFill="1" applyAlignment="1">
      <alignment horizontal="left"/>
    </xf>
    <xf numFmtId="0" fontId="100" fillId="10" borderId="0" xfId="0" applyFont="1" applyFill="1" applyAlignment="1">
      <alignment horizontal="left" vertical="center"/>
    </xf>
    <xf numFmtId="0" fontId="58" fillId="10" borderId="0" xfId="0" applyFont="1" applyFill="1"/>
    <xf numFmtId="0" fontId="61" fillId="0" borderId="0" xfId="0" applyFont="1" applyAlignment="1">
      <alignment vertical="center"/>
    </xf>
    <xf numFmtId="0" fontId="100" fillId="10" borderId="0" xfId="0" applyFont="1" applyFill="1" applyAlignment="1">
      <alignment vertical="center"/>
    </xf>
    <xf numFmtId="0" fontId="67" fillId="10" borderId="0" xfId="0" applyFont="1" applyFill="1" applyAlignment="1">
      <alignment horizontal="right" vertical="center"/>
    </xf>
    <xf numFmtId="0" fontId="64" fillId="10" borderId="0" xfId="0" applyFont="1" applyFill="1" applyAlignment="1">
      <alignment horizontal="left" vertical="center" wrapText="1"/>
    </xf>
    <xf numFmtId="0" fontId="65" fillId="10" borderId="0" xfId="0" applyFont="1" applyFill="1" applyAlignment="1">
      <alignment horizontal="left"/>
    </xf>
    <xf numFmtId="0" fontId="66" fillId="10" borderId="0" xfId="16" applyFont="1" applyFill="1"/>
    <xf numFmtId="0" fontId="64" fillId="10" borderId="0" xfId="0" applyFont="1" applyFill="1" applyAlignment="1">
      <alignment horizontal="center"/>
    </xf>
    <xf numFmtId="0" fontId="67" fillId="10" borderId="0" xfId="0" applyFont="1" applyFill="1"/>
    <xf numFmtId="173" fontId="61" fillId="15" borderId="1" xfId="56" applyNumberFormat="1" applyFont="1" applyFill="1" applyBorder="1" applyAlignment="1">
      <alignment vertical="center"/>
    </xf>
    <xf numFmtId="171" fontId="61" fillId="15" borderId="1" xfId="56" applyNumberFormat="1" applyFont="1" applyFill="1" applyBorder="1" applyAlignment="1">
      <alignment vertical="center"/>
    </xf>
    <xf numFmtId="164" fontId="61" fillId="15" borderId="1" xfId="57" applyFont="1" applyFill="1" applyBorder="1" applyAlignment="1">
      <alignment vertical="center"/>
    </xf>
    <xf numFmtId="43" fontId="61" fillId="7" borderId="1" xfId="56" applyFont="1" applyFill="1" applyBorder="1"/>
    <xf numFmtId="2" fontId="0" fillId="10" borderId="0" xfId="0" applyNumberFormat="1" applyFill="1"/>
    <xf numFmtId="165" fontId="53" fillId="10" borderId="0" xfId="2" applyFont="1" applyFill="1"/>
    <xf numFmtId="8" fontId="0" fillId="10" borderId="0" xfId="0" applyNumberFormat="1" applyFill="1"/>
    <xf numFmtId="165" fontId="54" fillId="10" borderId="0" xfId="2" applyFont="1" applyFill="1"/>
    <xf numFmtId="188" fontId="54" fillId="10" borderId="0" xfId="54" applyNumberFormat="1" applyFont="1" applyFill="1"/>
    <xf numFmtId="10" fontId="54" fillId="10" borderId="0" xfId="30" applyNumberFormat="1" applyFont="1" applyFill="1"/>
    <xf numFmtId="10" fontId="58" fillId="27" borderId="0" xfId="0" applyNumberFormat="1" applyFont="1" applyFill="1"/>
    <xf numFmtId="10" fontId="61" fillId="0" borderId="0" xfId="30" applyNumberFormat="1" applyFont="1"/>
    <xf numFmtId="165" fontId="0" fillId="10" borderId="0" xfId="0" applyNumberFormat="1" applyFill="1"/>
    <xf numFmtId="186" fontId="0" fillId="10" borderId="0" xfId="0" applyNumberFormat="1" applyFill="1"/>
    <xf numFmtId="3" fontId="0" fillId="0" borderId="0" xfId="0" applyNumberFormat="1"/>
    <xf numFmtId="193" fontId="0" fillId="0" borderId="0" xfId="0" applyNumberFormat="1"/>
    <xf numFmtId="9" fontId="0" fillId="0" borderId="0" xfId="30" applyFont="1"/>
    <xf numFmtId="0" fontId="67" fillId="0" borderId="0" xfId="0" applyFont="1" applyAlignment="1">
      <alignment horizontal="left"/>
    </xf>
    <xf numFmtId="0" fontId="63" fillId="9"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0" fillId="2" borderId="2" xfId="0" applyFont="1" applyFill="1" applyBorder="1" applyAlignment="1">
      <alignment horizontal="center"/>
    </xf>
    <xf numFmtId="0" fontId="63" fillId="5" borderId="2" xfId="0" applyFont="1" applyFill="1" applyBorder="1" applyAlignment="1">
      <alignment horizontal="center" vertical="center" wrapText="1"/>
    </xf>
    <xf numFmtId="0" fontId="64" fillId="10" borderId="28" xfId="0" applyFont="1" applyFill="1" applyBorder="1" applyAlignment="1">
      <alignment horizontal="left"/>
    </xf>
    <xf numFmtId="0" fontId="64" fillId="10" borderId="0" xfId="0" applyFont="1" applyFill="1" applyAlignment="1">
      <alignment horizontal="right" vertical="center"/>
    </xf>
    <xf numFmtId="0" fontId="64" fillId="10" borderId="0" xfId="0" applyFont="1" applyFill="1" applyAlignment="1">
      <alignment horizontal="left" vertical="center"/>
    </xf>
    <xf numFmtId="0" fontId="67" fillId="10" borderId="0" xfId="0" applyFont="1" applyFill="1" applyAlignment="1">
      <alignment horizontal="left"/>
    </xf>
    <xf numFmtId="0" fontId="60" fillId="23" borderId="10" xfId="0" applyFont="1" applyFill="1" applyBorder="1" applyAlignment="1">
      <alignment horizontal="left"/>
    </xf>
    <xf numFmtId="0" fontId="92" fillId="10" borderId="2" xfId="0" applyFont="1" applyFill="1" applyBorder="1" applyAlignment="1">
      <alignment horizontal="center"/>
    </xf>
    <xf numFmtId="172" fontId="55" fillId="29" borderId="1" xfId="56" applyNumberFormat="1" applyFont="1" applyFill="1" applyBorder="1" applyProtection="1">
      <protection locked="0"/>
    </xf>
    <xf numFmtId="171" fontId="61" fillId="29" borderId="1" xfId="56" applyNumberFormat="1" applyFont="1" applyFill="1" applyBorder="1" applyAlignment="1" applyProtection="1">
      <alignment vertical="center"/>
      <protection locked="0"/>
    </xf>
    <xf numFmtId="165" fontId="55" fillId="29" borderId="1" xfId="2" applyFont="1" applyFill="1" applyBorder="1" applyProtection="1">
      <protection locked="0"/>
    </xf>
    <xf numFmtId="0" fontId="61" fillId="0" borderId="0" xfId="0" applyFont="1" applyAlignment="1">
      <alignment horizontal="left"/>
    </xf>
    <xf numFmtId="0" fontId="65" fillId="0" borderId="0" xfId="0" applyFont="1" applyAlignment="1">
      <alignment horizontal="left"/>
    </xf>
    <xf numFmtId="166" fontId="59" fillId="3" borderId="1" xfId="54" applyNumberFormat="1" applyFont="1" applyFill="1" applyBorder="1" applyProtection="1"/>
    <xf numFmtId="166" fontId="59" fillId="3" borderId="1" xfId="54" applyNumberFormat="1" applyFont="1" applyFill="1" applyBorder="1" applyAlignment="1" applyProtection="1">
      <alignment horizontal="center"/>
    </xf>
    <xf numFmtId="9" fontId="7" fillId="7" borderId="1" xfId="30" applyFont="1" applyFill="1" applyBorder="1" applyAlignment="1" applyProtection="1">
      <alignment horizontal="center" vertical="center"/>
    </xf>
    <xf numFmtId="0" fontId="64" fillId="0" borderId="0" xfId="0" applyFont="1" applyAlignment="1">
      <alignment vertical="center"/>
    </xf>
    <xf numFmtId="0" fontId="64" fillId="0" borderId="28" xfId="0" applyFont="1" applyBorder="1"/>
    <xf numFmtId="0" fontId="64" fillId="0" borderId="0" xfId="0" applyFont="1" applyAlignment="1">
      <alignment vertical="center" wrapText="1"/>
    </xf>
    <xf numFmtId="0" fontId="64" fillId="0" borderId="28" xfId="0" applyFont="1" applyBorder="1" applyAlignment="1">
      <alignment vertical="center" wrapText="1"/>
    </xf>
    <xf numFmtId="0" fontId="64" fillId="0" borderId="0" xfId="0" applyFont="1" applyAlignment="1">
      <alignment horizontal="left" vertical="center"/>
    </xf>
    <xf numFmtId="164" fontId="7" fillId="7" borderId="1" xfId="57" applyFont="1" applyFill="1" applyBorder="1" applyProtection="1"/>
    <xf numFmtId="0" fontId="67" fillId="0" borderId="0" xfId="0" applyFont="1" applyAlignment="1">
      <alignment horizontal="right" vertical="center"/>
    </xf>
    <xf numFmtId="165" fontId="61" fillId="7" borderId="1" xfId="2" applyFont="1" applyFill="1" applyBorder="1" applyProtection="1"/>
    <xf numFmtId="43" fontId="7" fillId="7" borderId="1" xfId="56" applyFont="1" applyFill="1" applyBorder="1" applyAlignment="1" applyProtection="1">
      <alignment vertical="center"/>
    </xf>
    <xf numFmtId="0" fontId="64" fillId="0" borderId="0" xfId="0" applyFont="1" applyAlignment="1">
      <alignment horizontal="center"/>
    </xf>
    <xf numFmtId="171" fontId="7" fillId="7" borderId="1" xfId="56" applyNumberFormat="1" applyFont="1" applyFill="1" applyBorder="1" applyAlignment="1" applyProtection="1">
      <alignment vertical="center"/>
    </xf>
    <xf numFmtId="0" fontId="64" fillId="0" borderId="28" xfId="0" applyFont="1" applyBorder="1" applyAlignment="1">
      <alignment vertical="center"/>
    </xf>
    <xf numFmtId="43" fontId="7" fillId="15" borderId="1" xfId="56" applyFont="1" applyFill="1" applyBorder="1" applyProtection="1"/>
    <xf numFmtId="0" fontId="64" fillId="0" borderId="0" xfId="0" applyFont="1" applyAlignment="1">
      <alignment horizontal="left" vertical="center" wrapText="1"/>
    </xf>
    <xf numFmtId="166" fontId="7" fillId="7" borderId="1" xfId="56" applyNumberFormat="1" applyFont="1" applyFill="1" applyBorder="1" applyAlignment="1" applyProtection="1">
      <alignment vertical="center"/>
    </xf>
    <xf numFmtId="0" fontId="64" fillId="0" borderId="0" xfId="0" applyFont="1" applyAlignment="1">
      <alignment horizontal="right" vertical="center"/>
    </xf>
    <xf numFmtId="165" fontId="59" fillId="3" borderId="1" xfId="2" applyFont="1" applyFill="1" applyBorder="1" applyAlignment="1" applyProtection="1">
      <alignment horizontal="center"/>
    </xf>
    <xf numFmtId="2" fontId="7" fillId="7" borderId="1" xfId="56" applyNumberFormat="1" applyFont="1" applyFill="1" applyBorder="1" applyAlignment="1" applyProtection="1">
      <alignment vertical="center"/>
    </xf>
    <xf numFmtId="0" fontId="67" fillId="0" borderId="0" xfId="18" applyFont="1" applyAlignment="1">
      <alignment horizontal="left" vertical="center"/>
    </xf>
    <xf numFmtId="165" fontId="61" fillId="0" borderId="0" xfId="2" applyFont="1" applyFill="1" applyProtection="1"/>
    <xf numFmtId="0" fontId="65" fillId="0" borderId="0" xfId="0" applyFont="1" applyAlignment="1">
      <alignment horizontal="right"/>
    </xf>
    <xf numFmtId="165" fontId="61" fillId="3" borderId="1" xfId="2" applyFont="1" applyFill="1" applyBorder="1" applyProtection="1"/>
    <xf numFmtId="0" fontId="61" fillId="0" borderId="0" xfId="0" applyFont="1" applyAlignment="1">
      <alignment horizontal="right"/>
    </xf>
    <xf numFmtId="165" fontId="65" fillId="3" borderId="1" xfId="2" applyFont="1" applyFill="1" applyBorder="1" applyProtection="1"/>
    <xf numFmtId="166" fontId="7" fillId="29" borderId="1" xfId="56" applyNumberFormat="1" applyFont="1" applyFill="1" applyBorder="1" applyAlignment="1" applyProtection="1">
      <alignment horizontal="center" vertical="center"/>
      <protection locked="0"/>
    </xf>
    <xf numFmtId="172" fontId="7" fillId="29" borderId="1" xfId="56" applyNumberFormat="1" applyFont="1" applyFill="1" applyBorder="1" applyProtection="1">
      <protection locked="0"/>
    </xf>
    <xf numFmtId="165" fontId="7" fillId="29" borderId="1" xfId="2" applyFont="1" applyFill="1" applyBorder="1" applyProtection="1">
      <protection locked="0"/>
    </xf>
    <xf numFmtId="173" fontId="61" fillId="29" borderId="1" xfId="56" applyNumberFormat="1" applyFont="1" applyFill="1" applyBorder="1" applyAlignment="1" applyProtection="1">
      <alignment vertical="center"/>
      <protection locked="0"/>
    </xf>
    <xf numFmtId="171" fontId="7" fillId="29" borderId="1" xfId="56" applyNumberFormat="1" applyFont="1" applyFill="1" applyBorder="1" applyProtection="1">
      <protection locked="0"/>
    </xf>
    <xf numFmtId="165" fontId="7" fillId="29" borderId="1" xfId="2" applyFont="1" applyFill="1" applyBorder="1" applyAlignment="1" applyProtection="1">
      <alignment vertical="center"/>
      <protection locked="0"/>
    </xf>
    <xf numFmtId="0" fontId="65" fillId="15" borderId="1" xfId="0" applyFont="1" applyFill="1" applyBorder="1" applyAlignment="1">
      <alignment horizontal="center"/>
    </xf>
    <xf numFmtId="0" fontId="61" fillId="0" borderId="3" xfId="0" applyFont="1" applyBorder="1"/>
    <xf numFmtId="0" fontId="65" fillId="0" borderId="12" xfId="0" applyFont="1" applyBorder="1" applyAlignment="1">
      <alignment horizontal="center"/>
    </xf>
    <xf numFmtId="0" fontId="61" fillId="0" borderId="4" xfId="0" applyFont="1" applyBorder="1"/>
    <xf numFmtId="0" fontId="61" fillId="6" borderId="1" xfId="0" applyFont="1" applyFill="1" applyBorder="1" applyAlignment="1">
      <alignment horizontal="center"/>
    </xf>
    <xf numFmtId="0" fontId="61" fillId="0" borderId="5" xfId="0" applyFont="1" applyBorder="1"/>
    <xf numFmtId="0" fontId="61" fillId="0" borderId="6" xfId="0" applyFont="1" applyBorder="1"/>
    <xf numFmtId="39" fontId="55" fillId="4" borderId="1" xfId="56" applyNumberFormat="1" applyFont="1" applyFill="1" applyBorder="1" applyAlignment="1" applyProtection="1">
      <alignment horizontal="center" vertical="center"/>
    </xf>
    <xf numFmtId="39" fontId="55" fillId="3" borderId="1" xfId="56" applyNumberFormat="1" applyFont="1" applyFill="1" applyBorder="1" applyAlignment="1" applyProtection="1">
      <alignment horizontal="center" vertical="center"/>
    </xf>
    <xf numFmtId="0" fontId="61" fillId="0" borderId="7" xfId="0" applyFont="1" applyBorder="1"/>
    <xf numFmtId="0" fontId="61" fillId="0" borderId="8" xfId="0" applyFont="1" applyBorder="1"/>
    <xf numFmtId="0" fontId="61" fillId="0" borderId="9" xfId="0" applyFont="1" applyBorder="1"/>
    <xf numFmtId="0" fontId="40" fillId="0" borderId="0" xfId="0" applyFont="1"/>
    <xf numFmtId="0" fontId="57" fillId="5" borderId="1" xfId="16" applyFont="1" applyFill="1" applyBorder="1" applyAlignment="1">
      <alignment horizontal="center" vertical="center"/>
    </xf>
    <xf numFmtId="167" fontId="55" fillId="2" borderId="1" xfId="56" applyNumberFormat="1" applyFont="1" applyFill="1" applyBorder="1" applyAlignment="1" applyProtection="1">
      <alignment horizontal="center" vertical="center"/>
    </xf>
    <xf numFmtId="167" fontId="61" fillId="0" borderId="0" xfId="0" applyNumberFormat="1" applyFont="1"/>
    <xf numFmtId="167" fontId="55" fillId="7" borderId="11" xfId="56" applyNumberFormat="1" applyFont="1" applyFill="1" applyBorder="1" applyAlignment="1" applyProtection="1">
      <alignment horizontal="center" vertical="center"/>
    </xf>
    <xf numFmtId="167" fontId="55" fillId="7" borderId="1" xfId="56" applyNumberFormat="1" applyFont="1" applyFill="1" applyBorder="1" applyAlignment="1" applyProtection="1">
      <alignment horizontal="center" vertical="center"/>
    </xf>
    <xf numFmtId="0" fontId="67" fillId="0" borderId="0" xfId="0" applyFont="1" applyAlignment="1">
      <alignment vertical="center"/>
    </xf>
    <xf numFmtId="0" fontId="72" fillId="0" borderId="0" xfId="0" applyFont="1"/>
    <xf numFmtId="0" fontId="62" fillId="21" borderId="2" xfId="0" applyFont="1" applyFill="1" applyBorder="1"/>
    <xf numFmtId="0" fontId="62" fillId="21" borderId="2" xfId="0" applyFont="1" applyFill="1" applyBorder="1" applyAlignment="1">
      <alignment wrapText="1"/>
    </xf>
    <xf numFmtId="190" fontId="101" fillId="2" borderId="1" xfId="56" applyNumberFormat="1" applyFont="1" applyFill="1" applyBorder="1" applyAlignment="1" applyProtection="1">
      <alignment horizontal="center" vertical="center"/>
    </xf>
    <xf numFmtId="0" fontId="57" fillId="9" borderId="1" xfId="16" applyFont="1" applyFill="1" applyBorder="1" applyAlignment="1">
      <alignment horizontal="center" vertical="center"/>
    </xf>
    <xf numFmtId="182" fontId="55" fillId="8" borderId="1" xfId="54" applyNumberFormat="1" applyFont="1" applyFill="1" applyBorder="1" applyAlignment="1" applyProtection="1">
      <alignment horizontal="center" vertical="center"/>
    </xf>
    <xf numFmtId="0" fontId="67" fillId="0" borderId="0" xfId="0" applyFont="1" applyAlignment="1">
      <alignment horizontal="center"/>
    </xf>
    <xf numFmtId="0" fontId="17" fillId="0" borderId="0" xfId="0" applyFont="1"/>
    <xf numFmtId="4" fontId="55" fillId="8" borderId="1" xfId="54" applyNumberFormat="1" applyFont="1" applyFill="1" applyBorder="1" applyAlignment="1" applyProtection="1">
      <alignment horizontal="center" vertical="center"/>
    </xf>
    <xf numFmtId="0" fontId="86" fillId="9" borderId="1" xfId="0" applyFont="1" applyFill="1" applyBorder="1" applyAlignment="1">
      <alignment horizontal="left" vertical="center" wrapText="1"/>
    </xf>
    <xf numFmtId="3" fontId="70" fillId="8" borderId="1" xfId="0" applyNumberFormat="1" applyFont="1" applyFill="1" applyBorder="1" applyAlignment="1">
      <alignment vertical="center"/>
    </xf>
    <xf numFmtId="0" fontId="68" fillId="0" borderId="0" xfId="0" applyFont="1" applyAlignment="1">
      <alignment vertical="center"/>
    </xf>
    <xf numFmtId="169" fontId="55" fillId="2" borderId="1" xfId="56" applyNumberFormat="1" applyFont="1" applyFill="1" applyBorder="1" applyAlignment="1" applyProtection="1">
      <alignment horizontal="center" vertical="center"/>
    </xf>
    <xf numFmtId="5" fontId="55" fillId="2" borderId="1" xfId="56" applyNumberFormat="1" applyFont="1" applyFill="1" applyBorder="1" applyAlignment="1" applyProtection="1">
      <alignment horizontal="center" vertical="center"/>
    </xf>
    <xf numFmtId="3" fontId="55" fillId="8" borderId="1" xfId="54" applyNumberFormat="1" applyFont="1" applyFill="1" applyBorder="1" applyAlignment="1" applyProtection="1">
      <alignment horizontal="center" vertical="center"/>
    </xf>
    <xf numFmtId="169" fontId="55" fillId="18" borderId="1" xfId="56" applyNumberFormat="1" applyFont="1" applyFill="1" applyBorder="1" applyAlignment="1" applyProtection="1">
      <alignment horizontal="center" vertical="center"/>
    </xf>
    <xf numFmtId="7" fontId="74" fillId="8" borderId="1" xfId="56" applyNumberFormat="1" applyFont="1" applyFill="1" applyBorder="1" applyAlignment="1" applyProtection="1">
      <alignment horizontal="center" vertical="center"/>
    </xf>
    <xf numFmtId="0" fontId="11" fillId="10" borderId="0" xfId="0" applyFont="1" applyFill="1"/>
    <xf numFmtId="0" fontId="11" fillId="10" borderId="0" xfId="0" applyFont="1" applyFill="1" applyAlignment="1">
      <alignment horizontal="left"/>
    </xf>
    <xf numFmtId="173" fontId="61" fillId="15" borderId="1" xfId="56" applyNumberFormat="1" applyFont="1" applyFill="1" applyBorder="1" applyAlignment="1" applyProtection="1">
      <alignment vertical="center"/>
    </xf>
    <xf numFmtId="171" fontId="61" fillId="15" borderId="1" xfId="56" applyNumberFormat="1" applyFont="1" applyFill="1" applyBorder="1" applyAlignment="1" applyProtection="1">
      <alignment vertical="center"/>
    </xf>
    <xf numFmtId="164" fontId="61" fillId="15" borderId="1" xfId="57" applyFont="1" applyFill="1" applyBorder="1" applyAlignment="1" applyProtection="1">
      <alignment vertical="center"/>
    </xf>
    <xf numFmtId="43" fontId="61" fillId="7" borderId="1" xfId="56" applyFont="1" applyFill="1" applyBorder="1" applyProtection="1"/>
    <xf numFmtId="167" fontId="55" fillId="4" borderId="1" xfId="56" applyNumberFormat="1" applyFont="1" applyFill="1" applyBorder="1" applyAlignment="1" applyProtection="1">
      <alignment horizontal="center" vertical="center"/>
    </xf>
    <xf numFmtId="169" fontId="55" fillId="4" borderId="1" xfId="56" applyNumberFormat="1" applyFont="1" applyFill="1" applyBorder="1" applyAlignment="1" applyProtection="1">
      <alignment horizontal="center" vertical="center"/>
    </xf>
    <xf numFmtId="167" fontId="66" fillId="3" borderId="2" xfId="16" applyNumberFormat="1" applyFont="1" applyFill="1" applyBorder="1" applyAlignment="1">
      <alignment horizontal="center"/>
    </xf>
    <xf numFmtId="0" fontId="66" fillId="3" borderId="2" xfId="16" applyFont="1" applyFill="1" applyBorder="1" applyAlignment="1">
      <alignment horizontal="center"/>
    </xf>
    <xf numFmtId="169" fontId="55" fillId="8" borderId="1" xfId="56" applyNumberFormat="1" applyFont="1" applyFill="1" applyBorder="1" applyAlignment="1" applyProtection="1">
      <alignment horizontal="right" vertical="center"/>
    </xf>
    <xf numFmtId="3" fontId="66" fillId="3" borderId="2" xfId="16" applyNumberFormat="1" applyFont="1" applyFill="1" applyBorder="1" applyAlignment="1">
      <alignment horizontal="center"/>
    </xf>
    <xf numFmtId="0" fontId="81" fillId="12" borderId="1" xfId="0" applyFont="1" applyFill="1" applyBorder="1" applyAlignment="1">
      <alignment horizontal="center" vertical="center" wrapText="1"/>
    </xf>
    <xf numFmtId="0" fontId="75" fillId="15" borderId="1" xfId="0" applyFont="1" applyFill="1" applyBorder="1" applyAlignment="1">
      <alignment horizontal="center" vertical="center" wrapText="1"/>
    </xf>
    <xf numFmtId="0" fontId="65" fillId="0" borderId="12" xfId="18" applyFont="1" applyBorder="1" applyAlignment="1">
      <alignment horizontal="center"/>
    </xf>
    <xf numFmtId="0" fontId="61" fillId="0" borderId="4" xfId="18" applyFont="1" applyBorder="1"/>
    <xf numFmtId="0" fontId="25" fillId="10" borderId="0" xfId="0" applyFont="1" applyFill="1"/>
    <xf numFmtId="165" fontId="36" fillId="2" borderId="1" xfId="2" applyFont="1" applyFill="1" applyBorder="1" applyProtection="1"/>
    <xf numFmtId="0" fontId="64" fillId="0" borderId="0" xfId="18" applyFont="1" applyAlignment="1">
      <alignment vertical="center"/>
    </xf>
    <xf numFmtId="0" fontId="61" fillId="0" borderId="6" xfId="18" applyFont="1" applyBorder="1"/>
    <xf numFmtId="165" fontId="36" fillId="10" borderId="0" xfId="2" applyFont="1" applyFill="1" applyProtection="1"/>
    <xf numFmtId="0" fontId="61" fillId="0" borderId="8" xfId="18" applyFont="1" applyBorder="1"/>
    <xf numFmtId="0" fontId="61" fillId="0" borderId="9" xfId="18" applyFont="1" applyBorder="1"/>
    <xf numFmtId="0" fontId="25" fillId="10" borderId="0" xfId="0" applyFont="1" applyFill="1" applyAlignment="1">
      <alignment horizontal="right"/>
    </xf>
    <xf numFmtId="165" fontId="36" fillId="3" borderId="1" xfId="2" applyFont="1" applyFill="1" applyBorder="1" applyProtection="1"/>
    <xf numFmtId="0" fontId="0" fillId="10" borderId="0" xfId="0" applyFill="1" applyAlignment="1">
      <alignment horizontal="right"/>
    </xf>
    <xf numFmtId="0" fontId="10" fillId="10" borderId="0" xfId="0" applyFont="1" applyFill="1"/>
    <xf numFmtId="8" fontId="0" fillId="0" borderId="0" xfId="0" applyNumberFormat="1"/>
    <xf numFmtId="0" fontId="25" fillId="0" borderId="1" xfId="0" applyFont="1" applyBorder="1" applyAlignment="1">
      <alignment horizontal="right"/>
    </xf>
    <xf numFmtId="165" fontId="25" fillId="3" borderId="1" xfId="2" applyFont="1" applyFill="1" applyBorder="1" applyProtection="1"/>
    <xf numFmtId="0" fontId="25" fillId="0" borderId="0" xfId="0" applyFont="1" applyAlignment="1">
      <alignment horizontal="left" vertical="center"/>
    </xf>
    <xf numFmtId="0" fontId="10" fillId="0" borderId="0" xfId="18"/>
    <xf numFmtId="0" fontId="67" fillId="0" borderId="0" xfId="18" applyFont="1" applyAlignment="1">
      <alignment horizontal="right" vertical="center"/>
    </xf>
    <xf numFmtId="0" fontId="84" fillId="0" borderId="0" xfId="18" applyFont="1" applyAlignment="1">
      <alignment vertical="top" wrapText="1"/>
    </xf>
    <xf numFmtId="0" fontId="84" fillId="0" borderId="1" xfId="18" applyFont="1" applyBorder="1" applyAlignment="1">
      <alignment horizontal="center" vertical="center"/>
    </xf>
    <xf numFmtId="0" fontId="10" fillId="0" borderId="1" xfId="18" applyBorder="1" applyAlignment="1">
      <alignment horizontal="center"/>
    </xf>
    <xf numFmtId="0" fontId="84" fillId="0" borderId="1" xfId="0" applyFont="1" applyBorder="1" applyAlignment="1">
      <alignment vertical="top" wrapText="1"/>
    </xf>
    <xf numFmtId="10" fontId="10" fillId="0" borderId="1" xfId="18" applyNumberFormat="1" applyBorder="1" applyAlignment="1">
      <alignment horizontal="center"/>
    </xf>
    <xf numFmtId="4" fontId="10" fillId="0" borderId="1" xfId="18" applyNumberFormat="1" applyBorder="1"/>
    <xf numFmtId="0" fontId="84" fillId="0" borderId="1" xfId="0" applyFont="1" applyBorder="1" applyAlignment="1">
      <alignment horizontal="left" vertical="center" wrapText="1"/>
    </xf>
    <xf numFmtId="0" fontId="84" fillId="0" borderId="1" xfId="0" applyFont="1" applyBorder="1" applyAlignment="1">
      <alignment horizontal="left" vertical="top" wrapText="1"/>
    </xf>
    <xf numFmtId="0" fontId="71" fillId="0" borderId="0" xfId="18" applyFont="1"/>
    <xf numFmtId="1" fontId="10" fillId="0" borderId="1" xfId="18" applyNumberFormat="1" applyBorder="1" applyAlignment="1">
      <alignment horizontal="center"/>
    </xf>
    <xf numFmtId="0" fontId="82" fillId="0" borderId="0" xfId="18" applyFont="1"/>
    <xf numFmtId="0" fontId="84" fillId="0" borderId="0" xfId="18" applyFont="1" applyAlignment="1">
      <alignment horizontal="left" vertical="top" wrapText="1"/>
    </xf>
    <xf numFmtId="183" fontId="10" fillId="0" borderId="0" xfId="18" applyNumberFormat="1" applyAlignment="1">
      <alignment horizontal="center"/>
    </xf>
    <xf numFmtId="10" fontId="10" fillId="0" borderId="0" xfId="18" applyNumberFormat="1" applyAlignment="1">
      <alignment horizontal="center"/>
    </xf>
    <xf numFmtId="4" fontId="10" fillId="0" borderId="0" xfId="18" applyNumberFormat="1"/>
    <xf numFmtId="0" fontId="10" fillId="0" borderId="1" xfId="18" applyBorder="1"/>
    <xf numFmtId="9" fontId="10" fillId="0" borderId="1" xfId="32" applyFont="1" applyBorder="1" applyAlignment="1" applyProtection="1">
      <alignment horizontal="center"/>
    </xf>
    <xf numFmtId="39" fontId="59" fillId="3" borderId="1" xfId="56" applyNumberFormat="1" applyFont="1" applyFill="1" applyBorder="1" applyAlignment="1" applyProtection="1">
      <alignment horizontal="center" vertical="center"/>
    </xf>
    <xf numFmtId="0" fontId="67" fillId="0" borderId="0" xfId="18" applyFont="1"/>
    <xf numFmtId="9" fontId="10" fillId="0" borderId="1" xfId="18" applyNumberFormat="1" applyBorder="1" applyAlignment="1">
      <alignment horizontal="center"/>
    </xf>
    <xf numFmtId="0" fontId="57" fillId="12" borderId="1" xfId="18" applyFont="1" applyFill="1" applyBorder="1" applyAlignment="1">
      <alignment horizontal="center"/>
    </xf>
    <xf numFmtId="189" fontId="59" fillId="3" borderId="1" xfId="56" applyNumberFormat="1" applyFont="1" applyFill="1" applyBorder="1" applyAlignment="1" applyProtection="1">
      <alignment horizontal="center" vertical="center"/>
    </xf>
    <xf numFmtId="0" fontId="10" fillId="0" borderId="0" xfId="18" applyAlignment="1">
      <alignment horizontal="center" vertical="center"/>
    </xf>
    <xf numFmtId="0" fontId="61" fillId="0" borderId="3" xfId="18" applyFont="1" applyBorder="1" applyAlignment="1">
      <alignment horizontal="center" vertical="center"/>
    </xf>
    <xf numFmtId="0" fontId="61" fillId="0" borderId="5" xfId="18" applyFont="1" applyBorder="1" applyAlignment="1">
      <alignment horizontal="center" vertical="center"/>
    </xf>
    <xf numFmtId="0" fontId="83" fillId="19" borderId="1" xfId="18" applyFont="1" applyFill="1" applyBorder="1" applyAlignment="1">
      <alignment horizontal="center" vertical="center"/>
    </xf>
    <xf numFmtId="0" fontId="83" fillId="19" borderId="1" xfId="18" applyFont="1" applyFill="1" applyBorder="1" applyAlignment="1">
      <alignment horizontal="center" vertical="center" wrapText="1"/>
    </xf>
    <xf numFmtId="0" fontId="61" fillId="0" borderId="7" xfId="18" applyFont="1" applyBorder="1" applyAlignment="1">
      <alignment horizontal="center" vertical="center"/>
    </xf>
    <xf numFmtId="0" fontId="84" fillId="0" borderId="1" xfId="18" applyFont="1" applyBorder="1" applyAlignment="1">
      <alignment horizontal="center" vertical="center" wrapText="1"/>
    </xf>
    <xf numFmtId="0" fontId="82" fillId="0" borderId="0" xfId="18" applyFont="1" applyAlignment="1">
      <alignment vertical="center"/>
    </xf>
    <xf numFmtId="0" fontId="82" fillId="0" borderId="0" xfId="18" applyFont="1" applyAlignment="1">
      <alignment horizontal="center" vertical="center"/>
    </xf>
    <xf numFmtId="0" fontId="10" fillId="2" borderId="1" xfId="18" applyFill="1" applyBorder="1" applyAlignment="1">
      <alignment horizontal="center" vertical="center"/>
    </xf>
    <xf numFmtId="0" fontId="84" fillId="0" borderId="11" xfId="18" applyFont="1" applyBorder="1" applyAlignment="1">
      <alignment horizontal="center" vertical="center" wrapText="1"/>
    </xf>
    <xf numFmtId="0" fontId="84" fillId="2" borderId="1" xfId="18" applyFont="1" applyFill="1" applyBorder="1" applyAlignment="1">
      <alignment horizontal="center" vertical="center" wrapText="1"/>
    </xf>
    <xf numFmtId="0" fontId="84" fillId="0" borderId="16" xfId="18" applyFont="1" applyBorder="1" applyAlignment="1">
      <alignment horizontal="center" vertical="center" wrapText="1"/>
    </xf>
    <xf numFmtId="0" fontId="84" fillId="0" borderId="2" xfId="18" applyFont="1" applyBorder="1" applyAlignment="1">
      <alignment horizontal="center" vertical="center" wrapText="1"/>
    </xf>
    <xf numFmtId="0" fontId="84" fillId="0" borderId="0" xfId="18" applyFont="1" applyAlignment="1">
      <alignment horizontal="center" vertical="center" wrapText="1"/>
    </xf>
    <xf numFmtId="0" fontId="93" fillId="0" borderId="0" xfId="18" applyFont="1" applyAlignment="1">
      <alignment horizontal="center" vertical="center" wrapText="1"/>
    </xf>
    <xf numFmtId="0" fontId="102" fillId="0" borderId="0" xfId="18" applyFont="1" applyAlignment="1">
      <alignment horizontal="center" vertical="center" wrapText="1"/>
    </xf>
    <xf numFmtId="0" fontId="71" fillId="0" borderId="0" xfId="18" applyFont="1" applyAlignment="1">
      <alignment horizontal="center" vertical="center"/>
    </xf>
    <xf numFmtId="0" fontId="102" fillId="0" borderId="0" xfId="18" applyFont="1" applyAlignment="1">
      <alignment horizontal="center" vertical="center"/>
    </xf>
    <xf numFmtId="0" fontId="67" fillId="0" borderId="0" xfId="18" applyFont="1" applyAlignment="1">
      <alignment horizontal="right"/>
    </xf>
    <xf numFmtId="0" fontId="10" fillId="0" borderId="0" xfId="18" applyAlignment="1">
      <alignment horizontal="right"/>
    </xf>
    <xf numFmtId="0" fontId="87" fillId="0" borderId="0" xfId="18" applyFont="1"/>
    <xf numFmtId="9" fontId="10" fillId="0" borderId="0" xfId="18" applyNumberFormat="1"/>
    <xf numFmtId="0" fontId="82" fillId="0" borderId="0" xfId="18" applyFont="1" applyAlignment="1">
      <alignment horizontal="center"/>
    </xf>
    <xf numFmtId="9" fontId="82" fillId="0" borderId="0" xfId="18" applyNumberFormat="1" applyFont="1" applyAlignment="1">
      <alignment horizontal="center"/>
    </xf>
    <xf numFmtId="10" fontId="56" fillId="0" borderId="0" xfId="30" applyNumberFormat="1" applyFont="1" applyFill="1" applyBorder="1" applyAlignment="1" applyProtection="1">
      <alignment horizontal="center" vertical="center"/>
    </xf>
    <xf numFmtId="177" fontId="82" fillId="0" borderId="0" xfId="18" applyNumberFormat="1" applyFont="1"/>
    <xf numFmtId="10" fontId="82" fillId="0" borderId="0" xfId="30" applyNumberFormat="1" applyFont="1" applyFill="1" applyBorder="1" applyAlignment="1" applyProtection="1">
      <alignment horizontal="center"/>
    </xf>
    <xf numFmtId="9" fontId="82" fillId="0" borderId="0" xfId="18" applyNumberFormat="1" applyFont="1" applyAlignment="1">
      <alignment vertical="center" wrapText="1"/>
    </xf>
    <xf numFmtId="177" fontId="82" fillId="0" borderId="0" xfId="36" applyNumberFormat="1" applyFont="1" applyFill="1" applyBorder="1" applyAlignment="1" applyProtection="1">
      <alignment horizontal="center"/>
    </xf>
    <xf numFmtId="177" fontId="82" fillId="0" borderId="0" xfId="18" applyNumberFormat="1" applyFont="1" applyAlignment="1">
      <alignment horizontal="center"/>
    </xf>
    <xf numFmtId="9" fontId="87" fillId="0" borderId="0" xfId="18" applyNumberFormat="1" applyFont="1" applyAlignment="1">
      <alignment vertical="center" wrapText="1"/>
    </xf>
    <xf numFmtId="177" fontId="87" fillId="0" borderId="0" xfId="36" applyNumberFormat="1" applyFont="1" applyFill="1" applyBorder="1" applyAlignment="1" applyProtection="1">
      <alignment horizontal="center"/>
    </xf>
    <xf numFmtId="177" fontId="87" fillId="0" borderId="0" xfId="18" applyNumberFormat="1" applyFont="1" applyAlignment="1">
      <alignment horizontal="center"/>
    </xf>
    <xf numFmtId="0" fontId="31" fillId="0" borderId="3" xfId="18" applyFont="1" applyBorder="1" applyAlignment="1">
      <alignment horizontal="center"/>
    </xf>
    <xf numFmtId="0" fontId="31" fillId="0" borderId="12" xfId="18" applyFont="1" applyBorder="1" applyAlignment="1">
      <alignment horizontal="center"/>
    </xf>
    <xf numFmtId="0" fontId="31" fillId="0" borderId="4" xfId="18" applyFont="1" applyBorder="1" applyAlignment="1">
      <alignment horizontal="center"/>
    </xf>
    <xf numFmtId="10" fontId="32" fillId="0" borderId="5" xfId="36" applyNumberFormat="1" applyFont="1" applyBorder="1" applyAlignment="1" applyProtection="1">
      <alignment horizontal="center" vertical="center"/>
    </xf>
    <xf numFmtId="10" fontId="32" fillId="0" borderId="0" xfId="36" applyNumberFormat="1" applyFont="1" applyBorder="1" applyAlignment="1" applyProtection="1">
      <alignment horizontal="center" vertical="center"/>
    </xf>
    <xf numFmtId="10" fontId="32" fillId="0" borderId="6" xfId="36" applyNumberFormat="1" applyFont="1" applyBorder="1" applyAlignment="1" applyProtection="1">
      <alignment horizontal="center" vertical="center"/>
    </xf>
    <xf numFmtId="10" fontId="65" fillId="4" borderId="1" xfId="43" applyNumberFormat="1" applyFont="1" applyFill="1" applyBorder="1" applyAlignment="1" applyProtection="1">
      <alignment horizontal="center"/>
    </xf>
    <xf numFmtId="0" fontId="57" fillId="9" borderId="1" xfId="18" applyFont="1" applyFill="1" applyBorder="1" applyAlignment="1">
      <alignment horizontal="center"/>
    </xf>
    <xf numFmtId="187" fontId="59" fillId="3" borderId="1" xfId="56" applyNumberFormat="1" applyFont="1" applyFill="1" applyBorder="1" applyAlignment="1" applyProtection="1">
      <alignment horizontal="center" vertical="center"/>
    </xf>
    <xf numFmtId="39" fontId="56" fillId="17" borderId="1" xfId="56" applyNumberFormat="1" applyFont="1" applyFill="1" applyBorder="1" applyAlignment="1" applyProtection="1">
      <alignment horizontal="center" vertical="center"/>
    </xf>
    <xf numFmtId="39" fontId="57" fillId="17" borderId="1" xfId="56" applyNumberFormat="1" applyFont="1" applyFill="1" applyBorder="1" applyAlignment="1" applyProtection="1">
      <alignment horizontal="center" vertical="center"/>
    </xf>
    <xf numFmtId="10" fontId="55" fillId="4" borderId="1" xfId="30" applyNumberFormat="1" applyFont="1" applyFill="1" applyBorder="1" applyAlignment="1" applyProtection="1">
      <alignment horizontal="center" vertical="center"/>
    </xf>
    <xf numFmtId="20" fontId="59" fillId="15" borderId="1" xfId="23" applyNumberFormat="1" applyFont="1" applyFill="1" applyBorder="1" applyAlignment="1">
      <alignment horizontal="center" vertical="center"/>
    </xf>
    <xf numFmtId="184" fontId="59" fillId="15" borderId="13" xfId="23" applyNumberFormat="1" applyFont="1" applyFill="1" applyBorder="1" applyAlignment="1">
      <alignment horizontal="center" vertical="center"/>
    </xf>
    <xf numFmtId="4" fontId="55" fillId="4" borderId="1" xfId="23" applyNumberFormat="1" applyFill="1" applyBorder="1" applyAlignment="1">
      <alignment horizontal="center" vertical="center"/>
    </xf>
    <xf numFmtId="0" fontId="57" fillId="12" borderId="1" xfId="0" applyFont="1" applyFill="1" applyBorder="1" applyAlignment="1">
      <alignment horizontal="center"/>
    </xf>
    <xf numFmtId="176" fontId="65" fillId="4" borderId="1" xfId="30" applyNumberFormat="1" applyFont="1" applyFill="1" applyBorder="1" applyAlignment="1" applyProtection="1">
      <alignment horizontal="center"/>
    </xf>
    <xf numFmtId="7" fontId="61" fillId="0" borderId="0" xfId="0" applyNumberFormat="1" applyFont="1"/>
    <xf numFmtId="0" fontId="78" fillId="10" borderId="13" xfId="0" applyFont="1" applyFill="1" applyBorder="1" applyAlignment="1">
      <alignment vertical="center" wrapText="1"/>
    </xf>
    <xf numFmtId="2" fontId="77" fillId="4" borderId="13" xfId="0" applyNumberFormat="1" applyFont="1" applyFill="1" applyBorder="1" applyAlignment="1">
      <alignment horizontal="center" vertical="center" wrapText="1"/>
    </xf>
    <xf numFmtId="2" fontId="77" fillId="14" borderId="13" xfId="0" applyNumberFormat="1" applyFont="1" applyFill="1" applyBorder="1" applyAlignment="1">
      <alignment horizontal="center" vertical="center" wrapText="1"/>
    </xf>
    <xf numFmtId="2" fontId="77" fillId="10" borderId="13" xfId="0" applyNumberFormat="1" applyFont="1" applyFill="1" applyBorder="1" applyAlignment="1">
      <alignment horizontal="center" vertical="center" wrapText="1"/>
    </xf>
    <xf numFmtId="0" fontId="79" fillId="9" borderId="1" xfId="0" applyFont="1" applyFill="1" applyBorder="1" applyAlignment="1">
      <alignment horizontal="center"/>
    </xf>
    <xf numFmtId="170" fontId="65" fillId="8" borderId="1" xfId="0" applyNumberFormat="1" applyFont="1" applyFill="1" applyBorder="1" applyAlignment="1">
      <alignment horizontal="center"/>
    </xf>
    <xf numFmtId="0" fontId="57" fillId="20" borderId="1" xfId="0" applyFont="1" applyFill="1" applyBorder="1" applyAlignment="1">
      <alignment horizontal="center"/>
    </xf>
    <xf numFmtId="2" fontId="65" fillId="3" borderId="1" xfId="30" applyNumberFormat="1" applyFont="1" applyFill="1" applyBorder="1" applyAlignment="1" applyProtection="1">
      <alignment horizontal="center"/>
    </xf>
    <xf numFmtId="0" fontId="57" fillId="11" borderId="1" xfId="0" applyFont="1" applyFill="1" applyBorder="1"/>
    <xf numFmtId="0" fontId="65" fillId="3" borderId="1" xfId="0" applyFont="1" applyFill="1" applyBorder="1"/>
    <xf numFmtId="0" fontId="57" fillId="12" borderId="2" xfId="0" applyFont="1" applyFill="1" applyBorder="1"/>
    <xf numFmtId="9" fontId="65" fillId="15" borderId="1" xfId="30" applyFont="1" applyFill="1" applyBorder="1" applyAlignment="1" applyProtection="1">
      <alignment horizontal="center"/>
    </xf>
    <xf numFmtId="0" fontId="80" fillId="11" borderId="2" xfId="0" applyFont="1" applyFill="1" applyBorder="1" applyAlignment="1">
      <alignment horizontal="center" vertical="center" wrapText="1"/>
    </xf>
    <xf numFmtId="0" fontId="80" fillId="11" borderId="13" xfId="0" applyFont="1" applyFill="1" applyBorder="1" applyAlignment="1">
      <alignment horizontal="center" vertical="center" wrapText="1"/>
    </xf>
    <xf numFmtId="0" fontId="97" fillId="11" borderId="13" xfId="0" applyFont="1" applyFill="1" applyBorder="1" applyAlignment="1">
      <alignment horizontal="center" vertical="center" wrapText="1"/>
    </xf>
    <xf numFmtId="10" fontId="96" fillId="3" borderId="1" xfId="30" applyNumberFormat="1" applyFont="1" applyFill="1" applyBorder="1" applyAlignment="1" applyProtection="1">
      <alignment horizontal="left" vertical="center"/>
    </xf>
    <xf numFmtId="0" fontId="98" fillId="11" borderId="13" xfId="0" applyFont="1" applyFill="1" applyBorder="1" applyAlignment="1">
      <alignment horizontal="center" vertical="center" wrapText="1"/>
    </xf>
    <xf numFmtId="0" fontId="80" fillId="12" borderId="2" xfId="0" applyFont="1" applyFill="1" applyBorder="1" applyAlignment="1">
      <alignment horizontal="center" vertical="center" wrapText="1"/>
    </xf>
    <xf numFmtId="0" fontId="80" fillId="12" borderId="13" xfId="0" applyFont="1" applyFill="1" applyBorder="1" applyAlignment="1">
      <alignment horizontal="center" vertical="center" wrapText="1"/>
    </xf>
    <xf numFmtId="0" fontId="97" fillId="12" borderId="13" xfId="0" applyFont="1" applyFill="1" applyBorder="1" applyAlignment="1">
      <alignment horizontal="center" vertical="center" wrapText="1"/>
    </xf>
    <xf numFmtId="10" fontId="77" fillId="15" borderId="1" xfId="30" applyNumberFormat="1" applyFont="1" applyFill="1" applyBorder="1" applyAlignment="1" applyProtection="1">
      <alignment horizontal="center" vertical="center" wrapText="1"/>
    </xf>
    <xf numFmtId="0" fontId="98" fillId="12" borderId="13" xfId="0" applyFont="1" applyFill="1" applyBorder="1" applyAlignment="1">
      <alignment horizontal="center" vertical="center" wrapText="1"/>
    </xf>
    <xf numFmtId="0" fontId="57" fillId="9" borderId="1" xfId="0" applyFont="1" applyFill="1" applyBorder="1" applyAlignment="1">
      <alignment horizontal="center"/>
    </xf>
    <xf numFmtId="7" fontId="65" fillId="8" borderId="1" xfId="0" applyNumberFormat="1" applyFont="1" applyFill="1" applyBorder="1" applyAlignment="1">
      <alignment horizontal="center"/>
    </xf>
    <xf numFmtId="7" fontId="61" fillId="0" borderId="0" xfId="0" applyNumberFormat="1" applyFont="1" applyAlignment="1">
      <alignment horizontal="right"/>
    </xf>
    <xf numFmtId="179" fontId="61" fillId="0" borderId="0" xfId="30" applyNumberFormat="1" applyFont="1" applyProtection="1"/>
    <xf numFmtId="167" fontId="55" fillId="6" borderId="1" xfId="56" applyNumberFormat="1" applyFont="1" applyFill="1" applyBorder="1" applyAlignment="1" applyProtection="1">
      <alignment horizontal="center" vertical="center"/>
    </xf>
    <xf numFmtId="9" fontId="55" fillId="6" borderId="2" xfId="30" applyFont="1" applyFill="1" applyBorder="1" applyAlignment="1" applyProtection="1">
      <alignment horizontal="center" vertical="center"/>
    </xf>
    <xf numFmtId="0" fontId="66" fillId="0" borderId="0" xfId="16" applyFont="1" applyAlignment="1">
      <alignment horizontal="left"/>
    </xf>
    <xf numFmtId="167" fontId="55" fillId="0" borderId="0" xfId="56" applyNumberFormat="1" applyFont="1" applyFill="1" applyBorder="1" applyAlignment="1" applyProtection="1">
      <alignment horizontal="center" vertical="center"/>
    </xf>
    <xf numFmtId="9" fontId="55" fillId="0" borderId="0" xfId="30" applyFont="1" applyFill="1" applyBorder="1" applyAlignment="1" applyProtection="1">
      <alignment horizontal="center" vertical="center"/>
    </xf>
    <xf numFmtId="0" fontId="69" fillId="0" borderId="0" xfId="0" applyFont="1" applyAlignment="1">
      <alignment horizontal="left" vertical="center" textRotation="90"/>
    </xf>
    <xf numFmtId="179" fontId="61" fillId="0" borderId="0" xfId="30" applyNumberFormat="1" applyFont="1" applyFill="1" applyProtection="1"/>
    <xf numFmtId="0" fontId="57" fillId="16" borderId="16" xfId="16" applyFont="1" applyFill="1" applyBorder="1" applyAlignment="1">
      <alignment horizontal="center" vertical="center"/>
    </xf>
    <xf numFmtId="167" fontId="55" fillId="16" borderId="18" xfId="56" applyNumberFormat="1" applyFont="1" applyFill="1" applyBorder="1" applyAlignment="1" applyProtection="1">
      <alignment horizontal="center" vertical="center"/>
    </xf>
    <xf numFmtId="167" fontId="55" fillId="8" borderId="18" xfId="56" applyNumberFormat="1" applyFont="1" applyFill="1" applyBorder="1" applyAlignment="1" applyProtection="1">
      <alignment horizontal="center" vertical="center"/>
    </xf>
    <xf numFmtId="167" fontId="55" fillId="8" borderId="20" xfId="56" applyNumberFormat="1" applyFont="1" applyFill="1" applyBorder="1" applyAlignment="1" applyProtection="1">
      <alignment horizontal="center" vertical="center"/>
    </xf>
    <xf numFmtId="179" fontId="55" fillId="6" borderId="33" xfId="30" applyNumberFormat="1" applyFont="1" applyFill="1" applyBorder="1" applyAlignment="1" applyProtection="1">
      <alignment horizontal="center" vertical="center"/>
    </xf>
    <xf numFmtId="167" fontId="55" fillId="16" borderId="1" xfId="56" applyNumberFormat="1" applyFont="1" applyFill="1" applyBorder="1" applyAlignment="1" applyProtection="1">
      <alignment horizontal="center" vertical="center"/>
    </xf>
    <xf numFmtId="167" fontId="55" fillId="8" borderId="1" xfId="56" applyNumberFormat="1" applyFont="1" applyFill="1" applyBorder="1" applyAlignment="1" applyProtection="1">
      <alignment horizontal="center" vertical="center"/>
    </xf>
    <xf numFmtId="167" fontId="55" fillId="8" borderId="2" xfId="56" applyNumberFormat="1" applyFont="1" applyFill="1" applyBorder="1" applyAlignment="1" applyProtection="1">
      <alignment horizontal="center" vertical="center"/>
    </xf>
    <xf numFmtId="179" fontId="55" fillId="6" borderId="34" xfId="30" applyNumberFormat="1" applyFont="1" applyFill="1" applyBorder="1" applyAlignment="1" applyProtection="1">
      <alignment horizontal="center" vertical="center"/>
    </xf>
    <xf numFmtId="179" fontId="61" fillId="0" borderId="0" xfId="0" applyNumberFormat="1" applyFont="1"/>
    <xf numFmtId="167" fontId="55" fillId="16" borderId="19" xfId="56" applyNumberFormat="1" applyFont="1" applyFill="1" applyBorder="1" applyAlignment="1" applyProtection="1">
      <alignment horizontal="center" vertical="center"/>
    </xf>
    <xf numFmtId="167" fontId="55" fillId="8" borderId="19" xfId="56" applyNumberFormat="1" applyFont="1" applyFill="1" applyBorder="1" applyAlignment="1" applyProtection="1">
      <alignment horizontal="center" vertical="center"/>
    </xf>
    <xf numFmtId="167" fontId="55" fillId="8" borderId="21" xfId="56" applyNumberFormat="1" applyFont="1" applyFill="1" applyBorder="1" applyAlignment="1" applyProtection="1">
      <alignment horizontal="center" vertical="center"/>
    </xf>
    <xf numFmtId="179" fontId="55" fillId="6" borderId="35" xfId="30" applyNumberFormat="1" applyFont="1" applyFill="1" applyBorder="1" applyAlignment="1" applyProtection="1">
      <alignment horizontal="center" vertical="center"/>
    </xf>
    <xf numFmtId="167" fontId="55" fillId="8" borderId="23" xfId="56" applyNumberFormat="1" applyFont="1" applyFill="1" applyBorder="1" applyAlignment="1" applyProtection="1">
      <alignment horizontal="center" vertical="center"/>
    </xf>
    <xf numFmtId="167" fontId="55" fillId="8" borderId="24" xfId="56" applyNumberFormat="1" applyFont="1" applyFill="1" applyBorder="1" applyAlignment="1" applyProtection="1">
      <alignment horizontal="center" vertical="center"/>
    </xf>
    <xf numFmtId="167" fontId="55" fillId="8" borderId="25" xfId="56" applyNumberFormat="1" applyFont="1" applyFill="1" applyBorder="1" applyAlignment="1" applyProtection="1">
      <alignment horizontal="center" vertical="center"/>
    </xf>
    <xf numFmtId="167" fontId="55" fillId="16" borderId="11" xfId="56" applyNumberFormat="1" applyFont="1" applyFill="1" applyBorder="1" applyAlignment="1" applyProtection="1">
      <alignment horizontal="center" vertical="center"/>
    </xf>
    <xf numFmtId="167" fontId="55" fillId="8" borderId="11" xfId="56" applyNumberFormat="1" applyFont="1" applyFill="1" applyBorder="1" applyAlignment="1" applyProtection="1">
      <alignment horizontal="center" vertical="center"/>
    </xf>
    <xf numFmtId="167" fontId="55" fillId="8" borderId="27" xfId="56" applyNumberFormat="1" applyFont="1" applyFill="1" applyBorder="1" applyAlignment="1" applyProtection="1">
      <alignment horizontal="center" vertical="center"/>
    </xf>
    <xf numFmtId="179" fontId="55" fillId="6" borderId="37" xfId="30" applyNumberFormat="1" applyFont="1" applyFill="1" applyBorder="1" applyAlignment="1" applyProtection="1">
      <alignment horizontal="center" vertical="center"/>
    </xf>
    <xf numFmtId="167" fontId="55" fillId="16" borderId="16" xfId="56" applyNumberFormat="1" applyFont="1" applyFill="1" applyBorder="1" applyAlignment="1" applyProtection="1">
      <alignment horizontal="center" vertical="center"/>
    </xf>
    <xf numFmtId="167" fontId="55" fillId="16" borderId="47" xfId="56" applyNumberFormat="1" applyFont="1" applyFill="1" applyBorder="1" applyAlignment="1" applyProtection="1">
      <alignment horizontal="center" vertical="center"/>
    </xf>
    <xf numFmtId="167" fontId="55" fillId="16" borderId="13" xfId="56" applyNumberFormat="1" applyFont="1" applyFill="1" applyBorder="1" applyAlignment="1" applyProtection="1">
      <alignment horizontal="center" vertical="center"/>
    </xf>
    <xf numFmtId="167" fontId="55" fillId="16" borderId="42" xfId="56" applyNumberFormat="1" applyFont="1" applyFill="1" applyBorder="1" applyAlignment="1" applyProtection="1">
      <alignment horizontal="center" vertical="center"/>
    </xf>
    <xf numFmtId="179" fontId="55" fillId="6" borderId="24" xfId="30" applyNumberFormat="1" applyFont="1" applyFill="1" applyBorder="1" applyAlignment="1" applyProtection="1">
      <alignment horizontal="center" vertical="center"/>
    </xf>
    <xf numFmtId="179" fontId="55" fillId="6" borderId="22" xfId="30" applyNumberFormat="1" applyFont="1" applyFill="1" applyBorder="1" applyAlignment="1" applyProtection="1">
      <alignment horizontal="center" vertical="center"/>
    </xf>
    <xf numFmtId="167" fontId="55" fillId="8" borderId="16" xfId="56" applyNumberFormat="1" applyFont="1" applyFill="1" applyBorder="1" applyAlignment="1" applyProtection="1">
      <alignment horizontal="center" vertical="center"/>
    </xf>
    <xf numFmtId="167" fontId="55" fillId="8" borderId="22" xfId="56" applyNumberFormat="1" applyFont="1" applyFill="1" applyBorder="1" applyAlignment="1" applyProtection="1">
      <alignment horizontal="center" vertical="center"/>
    </xf>
    <xf numFmtId="179" fontId="55" fillId="6" borderId="36" xfId="30" applyNumberFormat="1" applyFont="1" applyFill="1" applyBorder="1" applyAlignment="1" applyProtection="1">
      <alignment horizontal="center" vertical="center"/>
    </xf>
    <xf numFmtId="167" fontId="55" fillId="14" borderId="18" xfId="56" applyNumberFormat="1" applyFont="1" applyFill="1" applyBorder="1" applyAlignment="1" applyProtection="1">
      <alignment horizontal="center" vertical="center"/>
    </xf>
    <xf numFmtId="175" fontId="55" fillId="13" borderId="18" xfId="56" applyNumberFormat="1" applyFont="1" applyFill="1" applyBorder="1" applyAlignment="1" applyProtection="1">
      <alignment horizontal="center" vertical="center"/>
    </xf>
    <xf numFmtId="175" fontId="55" fillId="13" borderId="23" xfId="56" applyNumberFormat="1" applyFont="1" applyFill="1" applyBorder="1" applyAlignment="1" applyProtection="1">
      <alignment horizontal="center" vertical="center"/>
    </xf>
    <xf numFmtId="167" fontId="55" fillId="14" borderId="1" xfId="56" applyNumberFormat="1" applyFont="1" applyFill="1" applyBorder="1" applyAlignment="1" applyProtection="1">
      <alignment horizontal="center" vertical="center"/>
    </xf>
    <xf numFmtId="175" fontId="55" fillId="13" borderId="1" xfId="56" applyNumberFormat="1" applyFont="1" applyFill="1" applyBorder="1" applyAlignment="1" applyProtection="1">
      <alignment horizontal="center" vertical="center"/>
    </xf>
    <xf numFmtId="175" fontId="55" fillId="13" borderId="24" xfId="56" applyNumberFormat="1" applyFont="1" applyFill="1" applyBorder="1" applyAlignment="1" applyProtection="1">
      <alignment horizontal="center" vertical="center"/>
    </xf>
    <xf numFmtId="167" fontId="55" fillId="14" borderId="19" xfId="56" applyNumberFormat="1" applyFont="1" applyFill="1" applyBorder="1" applyAlignment="1" applyProtection="1">
      <alignment horizontal="center" vertical="center"/>
    </xf>
    <xf numFmtId="175" fontId="55" fillId="13" borderId="19" xfId="56" applyNumberFormat="1" applyFont="1" applyFill="1" applyBorder="1" applyAlignment="1" applyProtection="1">
      <alignment horizontal="center" vertical="center"/>
    </xf>
    <xf numFmtId="175" fontId="55" fillId="13" borderId="25" xfId="56" applyNumberFormat="1" applyFont="1" applyFill="1" applyBorder="1" applyAlignment="1" applyProtection="1">
      <alignment horizontal="center" vertical="center"/>
    </xf>
    <xf numFmtId="167" fontId="55" fillId="14" borderId="11" xfId="56" applyNumberFormat="1" applyFont="1" applyFill="1" applyBorder="1" applyAlignment="1" applyProtection="1">
      <alignment horizontal="center" vertical="center"/>
    </xf>
    <xf numFmtId="175" fontId="55" fillId="13" borderId="11" xfId="56" applyNumberFormat="1" applyFont="1" applyFill="1" applyBorder="1" applyAlignment="1" applyProtection="1">
      <alignment horizontal="center" vertical="center"/>
    </xf>
    <xf numFmtId="175" fontId="55" fillId="13" borderId="27" xfId="56" applyNumberFormat="1" applyFont="1" applyFill="1" applyBorder="1" applyAlignment="1" applyProtection="1">
      <alignment horizontal="center" vertical="center"/>
    </xf>
    <xf numFmtId="0" fontId="57" fillId="9" borderId="16" xfId="16" applyFont="1" applyFill="1" applyBorder="1" applyAlignment="1">
      <alignment horizontal="center" vertical="center"/>
    </xf>
    <xf numFmtId="167" fontId="55" fillId="14" borderId="20" xfId="56" applyNumberFormat="1" applyFont="1" applyFill="1" applyBorder="1" applyAlignment="1" applyProtection="1">
      <alignment horizontal="center" vertical="center"/>
    </xf>
    <xf numFmtId="167" fontId="55" fillId="14" borderId="2" xfId="56" applyNumberFormat="1" applyFont="1" applyFill="1" applyBorder="1" applyAlignment="1" applyProtection="1">
      <alignment horizontal="center" vertical="center"/>
    </xf>
    <xf numFmtId="167" fontId="55" fillId="14" borderId="21" xfId="56" applyNumberFormat="1" applyFont="1" applyFill="1" applyBorder="1" applyAlignment="1" applyProtection="1">
      <alignment horizontal="center" vertical="center"/>
    </xf>
    <xf numFmtId="0" fontId="80" fillId="12" borderId="1" xfId="0" applyFont="1" applyFill="1" applyBorder="1" applyAlignment="1">
      <alignment horizontal="center" vertical="center" wrapText="1"/>
    </xf>
    <xf numFmtId="0" fontId="61" fillId="8" borderId="1" xfId="0" applyFont="1" applyFill="1" applyBorder="1" applyAlignment="1">
      <alignment horizontal="left"/>
    </xf>
    <xf numFmtId="10" fontId="75" fillId="15" borderId="1" xfId="30" applyNumberFormat="1" applyFont="1" applyFill="1" applyBorder="1" applyAlignment="1" applyProtection="1">
      <alignment horizontal="center" vertical="center" wrapText="1"/>
    </xf>
    <xf numFmtId="165" fontId="61" fillId="0" borderId="0" xfId="2" applyFont="1" applyProtection="1"/>
    <xf numFmtId="0" fontId="61" fillId="0" borderId="1" xfId="0" applyFont="1" applyBorder="1" applyAlignment="1">
      <alignment horizontal="center"/>
    </xf>
    <xf numFmtId="9" fontId="61" fillId="0" borderId="1" xfId="0" applyNumberFormat="1" applyFont="1" applyBorder="1" applyAlignment="1">
      <alignment horizontal="center"/>
    </xf>
    <xf numFmtId="0" fontId="67" fillId="4" borderId="1" xfId="0" applyFont="1" applyFill="1" applyBorder="1"/>
    <xf numFmtId="0" fontId="67" fillId="4" borderId="1" xfId="0" quotePrefix="1" applyFont="1" applyFill="1" applyBorder="1" applyAlignment="1">
      <alignment horizontal="center"/>
    </xf>
    <xf numFmtId="0" fontId="67" fillId="4" borderId="1" xfId="0" applyFont="1" applyFill="1" applyBorder="1" applyAlignment="1">
      <alignment horizontal="left"/>
    </xf>
    <xf numFmtId="178" fontId="61" fillId="4" borderId="1" xfId="0" applyNumberFormat="1" applyFont="1" applyFill="1" applyBorder="1" applyAlignment="1">
      <alignment horizontal="center"/>
    </xf>
    <xf numFmtId="178" fontId="61" fillId="0" borderId="0" xfId="0" applyNumberFormat="1" applyFont="1"/>
    <xf numFmtId="177" fontId="61" fillId="0" borderId="0" xfId="0" applyNumberFormat="1" applyFont="1"/>
    <xf numFmtId="0" fontId="57" fillId="16" borderId="22" xfId="16" applyFont="1" applyFill="1" applyBorder="1" applyAlignment="1">
      <alignment horizontal="center" vertical="center"/>
    </xf>
    <xf numFmtId="180" fontId="55" fillId="8" borderId="18" xfId="56" applyNumberFormat="1" applyFont="1" applyFill="1" applyBorder="1" applyAlignment="1" applyProtection="1">
      <alignment horizontal="center" vertical="center"/>
    </xf>
    <xf numFmtId="178" fontId="61" fillId="3" borderId="23" xfId="0" applyNumberFormat="1" applyFont="1" applyFill="1" applyBorder="1" applyAlignment="1">
      <alignment horizontal="center"/>
    </xf>
    <xf numFmtId="180" fontId="55" fillId="8" borderId="1" xfId="56" applyNumberFormat="1" applyFont="1" applyFill="1" applyBorder="1" applyAlignment="1" applyProtection="1">
      <alignment horizontal="center" vertical="center"/>
    </xf>
    <xf numFmtId="178" fontId="61" fillId="3" borderId="24" xfId="0" applyNumberFormat="1" applyFont="1" applyFill="1" applyBorder="1" applyAlignment="1">
      <alignment horizontal="center"/>
    </xf>
    <xf numFmtId="180" fontId="55" fillId="8" borderId="19" xfId="56" applyNumberFormat="1" applyFont="1" applyFill="1" applyBorder="1" applyAlignment="1" applyProtection="1">
      <alignment horizontal="center" vertical="center"/>
    </xf>
    <xf numFmtId="178" fontId="61" fillId="3" borderId="25" xfId="0" applyNumberFormat="1" applyFont="1" applyFill="1" applyBorder="1" applyAlignment="1">
      <alignment horizontal="center"/>
    </xf>
    <xf numFmtId="178" fontId="61" fillId="3" borderId="27" xfId="0" applyNumberFormat="1" applyFont="1" applyFill="1" applyBorder="1" applyAlignment="1">
      <alignment horizontal="center"/>
    </xf>
    <xf numFmtId="178" fontId="61" fillId="3" borderId="38" xfId="0" applyNumberFormat="1" applyFont="1" applyFill="1" applyBorder="1" applyAlignment="1">
      <alignment horizontal="center"/>
    </xf>
    <xf numFmtId="178" fontId="61" fillId="3" borderId="58" xfId="0" applyNumberFormat="1" applyFont="1" applyFill="1" applyBorder="1" applyAlignment="1">
      <alignment horizontal="center"/>
    </xf>
    <xf numFmtId="0" fontId="57" fillId="9" borderId="24" xfId="16" applyFont="1" applyFill="1" applyBorder="1" applyAlignment="1">
      <alignment horizontal="center" vertical="center"/>
    </xf>
    <xf numFmtId="169" fontId="55" fillId="8" borderId="1" xfId="56" applyNumberFormat="1" applyFont="1" applyFill="1" applyBorder="1" applyAlignment="1" applyProtection="1">
      <alignment horizontal="center" vertical="center"/>
    </xf>
    <xf numFmtId="178" fontId="61" fillId="0" borderId="0" xfId="0" applyNumberFormat="1" applyFont="1" applyAlignment="1">
      <alignment horizontal="center"/>
    </xf>
    <xf numFmtId="7" fontId="74" fillId="8" borderId="26" xfId="56" applyNumberFormat="1" applyFont="1" applyFill="1" applyBorder="1" applyAlignment="1" applyProtection="1">
      <alignment horizontal="center" vertical="center"/>
    </xf>
    <xf numFmtId="0" fontId="76" fillId="12" borderId="1" xfId="0" applyFont="1" applyFill="1" applyBorder="1" applyAlignment="1">
      <alignment horizontal="center" vertical="center" wrapText="1"/>
    </xf>
    <xf numFmtId="176" fontId="75" fillId="15" borderId="1" xfId="18" applyNumberFormat="1" applyFont="1" applyFill="1" applyBorder="1" applyAlignment="1">
      <alignment horizontal="center" vertical="center" wrapText="1"/>
    </xf>
    <xf numFmtId="0" fontId="62" fillId="10" borderId="0" xfId="0" applyFont="1" applyFill="1" applyAlignment="1">
      <alignment horizontal="right"/>
    </xf>
    <xf numFmtId="0" fontId="112" fillId="10" borderId="0" xfId="0" applyFont="1" applyFill="1"/>
    <xf numFmtId="0" fontId="91" fillId="10" borderId="0" xfId="0" applyFont="1" applyFill="1"/>
    <xf numFmtId="0" fontId="111" fillId="10" borderId="0" xfId="0" applyFont="1" applyFill="1" applyAlignment="1">
      <alignment horizontal="left"/>
    </xf>
    <xf numFmtId="0" fontId="112" fillId="10" borderId="0" xfId="0" applyFont="1" applyFill="1" applyAlignment="1">
      <alignment horizontal="left"/>
    </xf>
    <xf numFmtId="0" fontId="112" fillId="10" borderId="0" xfId="0" applyFont="1" applyFill="1" applyAlignment="1">
      <alignment horizontal="right"/>
    </xf>
    <xf numFmtId="172" fontId="6" fillId="7" borderId="1" xfId="56" applyNumberFormat="1" applyFont="1" applyFill="1" applyBorder="1" applyProtection="1"/>
    <xf numFmtId="0" fontId="117" fillId="10" borderId="0" xfId="0" applyFont="1" applyFill="1"/>
    <xf numFmtId="0" fontId="112" fillId="10" borderId="0" xfId="0" applyFont="1" applyFill="1" applyAlignment="1">
      <alignment horizontal="right" vertical="center"/>
    </xf>
    <xf numFmtId="0" fontId="117" fillId="10" borderId="0" xfId="0" applyFont="1" applyFill="1" applyAlignment="1">
      <alignment horizontal="left" vertical="center"/>
    </xf>
    <xf numFmtId="0" fontId="117" fillId="10" borderId="0" xfId="0" applyFont="1" applyFill="1" applyAlignment="1">
      <alignment horizontal="left"/>
    </xf>
    <xf numFmtId="0" fontId="117" fillId="0" borderId="0" xfId="0" applyFont="1"/>
    <xf numFmtId="43" fontId="6" fillId="7" borderId="1" xfId="56" applyFont="1" applyFill="1" applyBorder="1" applyProtection="1"/>
    <xf numFmtId="174" fontId="6" fillId="15" borderId="1" xfId="56" applyNumberFormat="1" applyFont="1" applyFill="1" applyBorder="1" applyAlignment="1" applyProtection="1">
      <alignment vertical="center"/>
    </xf>
    <xf numFmtId="7" fontId="6" fillId="3" borderId="1" xfId="56" applyNumberFormat="1" applyFont="1" applyFill="1" applyBorder="1" applyProtection="1"/>
    <xf numFmtId="186" fontId="91" fillId="0" borderId="0" xfId="2" applyNumberFormat="1" applyFont="1" applyProtection="1"/>
    <xf numFmtId="186" fontId="60" fillId="0" borderId="0" xfId="0" applyNumberFormat="1" applyFont="1"/>
    <xf numFmtId="43" fontId="60" fillId="0" borderId="0" xfId="0" applyNumberFormat="1" applyFont="1"/>
    <xf numFmtId="171" fontId="6" fillId="15" borderId="1" xfId="56" applyNumberFormat="1" applyFont="1" applyFill="1" applyBorder="1" applyProtection="1"/>
    <xf numFmtId="177" fontId="60" fillId="0" borderId="0" xfId="0" applyNumberFormat="1" applyFont="1"/>
    <xf numFmtId="192" fontId="60" fillId="0" borderId="0" xfId="0" applyNumberFormat="1" applyFont="1"/>
    <xf numFmtId="0" fontId="112" fillId="10" borderId="28" xfId="0" applyFont="1" applyFill="1" applyBorder="1" applyAlignment="1">
      <alignment horizontal="left"/>
    </xf>
    <xf numFmtId="191" fontId="60" fillId="0" borderId="0" xfId="0" applyNumberFormat="1" applyFont="1"/>
    <xf numFmtId="164" fontId="6" fillId="7" borderId="1" xfId="57" applyFont="1" applyFill="1" applyBorder="1" applyProtection="1"/>
    <xf numFmtId="0" fontId="62" fillId="10" borderId="0" xfId="0" applyFont="1" applyFill="1" applyAlignment="1">
      <alignment horizontal="right" vertical="center"/>
    </xf>
    <xf numFmtId="0" fontId="112" fillId="10" borderId="0" xfId="0" applyFont="1" applyFill="1" applyAlignment="1">
      <alignment vertical="center"/>
    </xf>
    <xf numFmtId="0" fontId="60" fillId="10" borderId="0" xfId="0" applyFont="1" applyFill="1" applyAlignment="1">
      <alignment vertical="center"/>
    </xf>
    <xf numFmtId="0" fontId="60" fillId="0" borderId="0" xfId="0" applyFont="1" applyAlignment="1">
      <alignment vertical="center"/>
    </xf>
    <xf numFmtId="7" fontId="6" fillId="7" borderId="1" xfId="56" applyNumberFormat="1" applyFont="1" applyFill="1" applyBorder="1" applyProtection="1"/>
    <xf numFmtId="43" fontId="6" fillId="7" borderId="1" xfId="56" applyFont="1" applyFill="1" applyBorder="1" applyAlignment="1" applyProtection="1">
      <alignment vertical="center"/>
    </xf>
    <xf numFmtId="0" fontId="117" fillId="10" borderId="0" xfId="0" applyFont="1" applyFill="1" applyAlignment="1">
      <alignment vertical="center"/>
    </xf>
    <xf numFmtId="171" fontId="6" fillId="7" borderId="1" xfId="56" applyNumberFormat="1" applyFont="1" applyFill="1" applyBorder="1" applyProtection="1"/>
    <xf numFmtId="171" fontId="6" fillId="3" borderId="1" xfId="54" applyNumberFormat="1" applyFont="1" applyFill="1" applyBorder="1" applyProtection="1"/>
    <xf numFmtId="43" fontId="6" fillId="15" borderId="1" xfId="56" applyFont="1" applyFill="1" applyBorder="1" applyProtection="1"/>
    <xf numFmtId="0" fontId="112" fillId="10" borderId="0" xfId="0" applyFont="1" applyFill="1" applyAlignment="1">
      <alignment horizontal="left" vertical="center"/>
    </xf>
    <xf numFmtId="0" fontId="112" fillId="10" borderId="0" xfId="0" applyFont="1" applyFill="1" applyAlignment="1">
      <alignment horizontal="left" vertical="center" wrapText="1"/>
    </xf>
    <xf numFmtId="164" fontId="6" fillId="15" borderId="1" xfId="54" applyFont="1" applyFill="1" applyBorder="1" applyAlignment="1" applyProtection="1">
      <alignment vertical="center"/>
    </xf>
    <xf numFmtId="2" fontId="6" fillId="7" borderId="1" xfId="30" applyNumberFormat="1" applyFont="1" applyFill="1" applyBorder="1" applyAlignment="1" applyProtection="1">
      <alignment vertical="center"/>
    </xf>
    <xf numFmtId="164" fontId="6" fillId="7" borderId="1" xfId="54" applyFont="1" applyFill="1" applyBorder="1" applyAlignment="1" applyProtection="1">
      <alignment vertical="center"/>
    </xf>
    <xf numFmtId="0" fontId="99" fillId="0" borderId="0" xfId="0" applyFont="1"/>
    <xf numFmtId="1" fontId="61" fillId="0" borderId="0" xfId="2" applyNumberFormat="1" applyFont="1" applyProtection="1"/>
    <xf numFmtId="167" fontId="55" fillId="14" borderId="23" xfId="56" applyNumberFormat="1" applyFont="1" applyFill="1" applyBorder="1" applyAlignment="1" applyProtection="1">
      <alignment horizontal="center" vertical="center"/>
    </xf>
    <xf numFmtId="167" fontId="55" fillId="14" borderId="24" xfId="56" applyNumberFormat="1" applyFont="1" applyFill="1" applyBorder="1" applyAlignment="1" applyProtection="1">
      <alignment horizontal="center" vertical="center"/>
    </xf>
    <xf numFmtId="167" fontId="55" fillId="14" borderId="25" xfId="56" applyNumberFormat="1" applyFont="1" applyFill="1" applyBorder="1" applyAlignment="1" applyProtection="1">
      <alignment horizontal="center" vertical="center"/>
    </xf>
    <xf numFmtId="167" fontId="55" fillId="14" borderId="27" xfId="56" applyNumberFormat="1" applyFont="1" applyFill="1" applyBorder="1" applyAlignment="1" applyProtection="1">
      <alignment horizontal="center" vertical="center"/>
    </xf>
    <xf numFmtId="9" fontId="55" fillId="6" borderId="1" xfId="30" applyFont="1" applyFill="1" applyBorder="1" applyAlignment="1" applyProtection="1">
      <alignment horizontal="center" vertical="center"/>
    </xf>
    <xf numFmtId="10" fontId="61" fillId="0" borderId="0" xfId="0" applyNumberFormat="1" applyFont="1"/>
    <xf numFmtId="44" fontId="61" fillId="0" borderId="0" xfId="0" applyNumberFormat="1" applyFont="1"/>
    <xf numFmtId="39" fontId="5" fillId="2" borderId="1" xfId="56" applyNumberFormat="1" applyFont="1" applyFill="1" applyBorder="1" applyAlignment="1">
      <alignment horizontal="center" vertical="center"/>
    </xf>
    <xf numFmtId="9" fontId="61" fillId="0" borderId="0" xfId="30" applyFont="1" applyProtection="1"/>
    <xf numFmtId="165" fontId="0" fillId="0" borderId="0" xfId="2" applyFont="1"/>
    <xf numFmtId="0" fontId="9" fillId="0" borderId="0" xfId="0" applyFont="1"/>
    <xf numFmtId="1" fontId="0" fillId="10" borderId="0" xfId="0" applyNumberFormat="1" applyFill="1"/>
    <xf numFmtId="10" fontId="61" fillId="0" borderId="0" xfId="30" applyNumberFormat="1" applyFont="1" applyProtection="1"/>
    <xf numFmtId="192" fontId="61" fillId="0" borderId="0" xfId="0" applyNumberFormat="1" applyFont="1"/>
    <xf numFmtId="195" fontId="0" fillId="0" borderId="0" xfId="30" applyNumberFormat="1" applyFont="1"/>
    <xf numFmtId="195" fontId="0" fillId="0" borderId="0" xfId="0" applyNumberFormat="1"/>
    <xf numFmtId="186" fontId="25" fillId="10" borderId="0" xfId="2" applyNumberFormat="1" applyFont="1" applyFill="1" applyAlignment="1">
      <alignment horizontal="center"/>
    </xf>
    <xf numFmtId="0" fontId="120" fillId="0" borderId="0" xfId="0" applyFont="1"/>
    <xf numFmtId="0" fontId="119" fillId="0" borderId="0" xfId="0" applyFont="1"/>
    <xf numFmtId="165" fontId="4" fillId="29" borderId="1" xfId="2" applyFont="1" applyFill="1" applyBorder="1" applyProtection="1">
      <protection locked="0"/>
    </xf>
    <xf numFmtId="9" fontId="61" fillId="0" borderId="0" xfId="30" applyFont="1"/>
    <xf numFmtId="0" fontId="9" fillId="10" borderId="0" xfId="0" applyFont="1" applyFill="1"/>
    <xf numFmtId="9" fontId="0" fillId="10" borderId="0" xfId="30" applyFont="1" applyFill="1"/>
    <xf numFmtId="0" fontId="71" fillId="10" borderId="0" xfId="0" applyFont="1" applyFill="1"/>
    <xf numFmtId="165" fontId="68" fillId="23" borderId="28" xfId="2" applyFont="1" applyFill="1" applyBorder="1" applyAlignment="1">
      <alignment horizontal="right" vertical="center"/>
    </xf>
    <xf numFmtId="165" fontId="61" fillId="0" borderId="0" xfId="0" applyNumberFormat="1" applyFont="1"/>
    <xf numFmtId="0" fontId="12" fillId="0" borderId="0" xfId="0" applyFont="1" applyAlignment="1">
      <alignment horizontal="left"/>
    </xf>
    <xf numFmtId="193" fontId="60" fillId="23" borderId="28" xfId="2" applyNumberFormat="1" applyFont="1" applyFill="1" applyBorder="1" applyAlignment="1">
      <alignment horizontal="right"/>
    </xf>
    <xf numFmtId="193" fontId="92" fillId="23" borderId="28" xfId="2" applyNumberFormat="1" applyFont="1" applyFill="1" applyBorder="1" applyAlignment="1">
      <alignment horizontal="center"/>
    </xf>
    <xf numFmtId="193" fontId="68" fillId="23" borderId="28" xfId="2" applyNumberFormat="1" applyFont="1" applyFill="1" applyBorder="1" applyAlignment="1">
      <alignment horizontal="left"/>
    </xf>
    <xf numFmtId="44" fontId="82" fillId="0" borderId="0" xfId="0" applyNumberFormat="1" applyFont="1"/>
    <xf numFmtId="10" fontId="73" fillId="11" borderId="13" xfId="30" applyNumberFormat="1" applyFont="1" applyFill="1" applyBorder="1"/>
    <xf numFmtId="4" fontId="73" fillId="9" borderId="13" xfId="0" applyNumberFormat="1" applyFont="1" applyFill="1" applyBorder="1" applyAlignment="1">
      <alignment horizontal="center" vertical="center"/>
    </xf>
    <xf numFmtId="4" fontId="73" fillId="11" borderId="13" xfId="0" applyNumberFormat="1" applyFont="1" applyFill="1" applyBorder="1" applyAlignment="1">
      <alignment vertical="center"/>
    </xf>
    <xf numFmtId="3" fontId="73" fillId="11" borderId="13" xfId="0" applyNumberFormat="1" applyFont="1" applyFill="1" applyBorder="1" applyAlignment="1">
      <alignment horizontal="center"/>
    </xf>
    <xf numFmtId="0" fontId="122" fillId="10" borderId="0" xfId="94" applyFont="1" applyFill="1" applyAlignment="1">
      <alignment horizontal="center"/>
    </xf>
    <xf numFmtId="196" fontId="122" fillId="10" borderId="0" xfId="94" applyNumberFormat="1" applyFont="1" applyFill="1" applyAlignment="1">
      <alignment horizontal="center"/>
    </xf>
    <xf numFmtId="0" fontId="123" fillId="23" borderId="0" xfId="94" applyFont="1" applyFill="1" applyAlignment="1">
      <alignment horizontal="center"/>
    </xf>
    <xf numFmtId="0" fontId="123" fillId="27" borderId="0" xfId="94" applyFont="1" applyFill="1" applyAlignment="1">
      <alignment horizontal="center"/>
    </xf>
    <xf numFmtId="0" fontId="122" fillId="23" borderId="0" xfId="94" applyFont="1" applyFill="1" applyAlignment="1">
      <alignment horizontal="center"/>
    </xf>
    <xf numFmtId="0" fontId="122" fillId="30" borderId="0" xfId="94" applyFont="1" applyFill="1" applyAlignment="1">
      <alignment horizontal="center"/>
    </xf>
    <xf numFmtId="196" fontId="65" fillId="10" borderId="0" xfId="94" applyNumberFormat="1" applyFont="1" applyFill="1" applyAlignment="1">
      <alignment horizontal="center" vertical="center"/>
    </xf>
    <xf numFmtId="0" fontId="60" fillId="10" borderId="0" xfId="99" applyFont="1" applyFill="1"/>
    <xf numFmtId="0" fontId="60" fillId="0" borderId="0" xfId="99" applyFont="1"/>
    <xf numFmtId="0" fontId="60" fillId="27" borderId="0" xfId="99" applyFont="1" applyFill="1"/>
    <xf numFmtId="0" fontId="123" fillId="23" borderId="15" xfId="94" applyFont="1" applyFill="1" applyBorder="1" applyAlignment="1">
      <alignment horizontal="center"/>
    </xf>
    <xf numFmtId="0" fontId="123" fillId="23" borderId="41" xfId="94" applyFont="1" applyFill="1" applyBorder="1" applyAlignment="1">
      <alignment horizontal="center"/>
    </xf>
    <xf numFmtId="0" fontId="123" fillId="27" borderId="42" xfId="94" applyFont="1" applyFill="1" applyBorder="1" applyAlignment="1">
      <alignment horizontal="center"/>
    </xf>
    <xf numFmtId="0" fontId="123" fillId="27" borderId="41" xfId="94" applyFont="1" applyFill="1" applyBorder="1" applyAlignment="1">
      <alignment horizontal="center"/>
    </xf>
    <xf numFmtId="0" fontId="122" fillId="23" borderId="15" xfId="94" applyFont="1" applyFill="1" applyBorder="1" applyAlignment="1">
      <alignment horizontal="center"/>
    </xf>
    <xf numFmtId="198" fontId="122" fillId="23" borderId="41" xfId="94" applyNumberFormat="1" applyFont="1" applyFill="1" applyBorder="1" applyAlignment="1">
      <alignment horizontal="center"/>
    </xf>
    <xf numFmtId="0" fontId="122" fillId="23" borderId="41" xfId="94" applyFont="1" applyFill="1" applyBorder="1" applyAlignment="1">
      <alignment horizontal="center"/>
    </xf>
    <xf numFmtId="198" fontId="122" fillId="23" borderId="42" xfId="94" applyNumberFormat="1" applyFont="1" applyFill="1" applyBorder="1" applyAlignment="1">
      <alignment horizontal="center"/>
    </xf>
    <xf numFmtId="198" fontId="122" fillId="23" borderId="0" xfId="94" applyNumberFormat="1" applyFont="1" applyFill="1" applyAlignment="1">
      <alignment horizontal="center"/>
    </xf>
    <xf numFmtId="196" fontId="122" fillId="10" borderId="32" xfId="94" applyNumberFormat="1" applyFont="1" applyFill="1" applyBorder="1" applyAlignment="1">
      <alignment horizontal="center"/>
    </xf>
    <xf numFmtId="196" fontId="122" fillId="10" borderId="43" xfId="94" applyNumberFormat="1" applyFont="1" applyFill="1" applyBorder="1" applyAlignment="1">
      <alignment horizontal="center"/>
    </xf>
    <xf numFmtId="0" fontId="122" fillId="10" borderId="32" xfId="94" applyFont="1" applyFill="1" applyBorder="1" applyAlignment="1">
      <alignment horizontal="center"/>
    </xf>
    <xf numFmtId="0" fontId="122" fillId="10" borderId="44" xfId="94" applyFont="1" applyFill="1" applyBorder="1" applyAlignment="1">
      <alignment horizontal="center"/>
    </xf>
    <xf numFmtId="196" fontId="125" fillId="23" borderId="32" xfId="94" applyNumberFormat="1" applyFont="1" applyFill="1" applyBorder="1" applyAlignment="1">
      <alignment horizontal="center"/>
    </xf>
    <xf numFmtId="196" fontId="125" fillId="23" borderId="43" xfId="94" applyNumberFormat="1" applyFont="1" applyFill="1" applyBorder="1" applyAlignment="1">
      <alignment horizontal="center"/>
    </xf>
    <xf numFmtId="196" fontId="125" fillId="23" borderId="44" xfId="94" applyNumberFormat="1" applyFont="1" applyFill="1" applyBorder="1" applyAlignment="1">
      <alignment horizontal="center"/>
    </xf>
    <xf numFmtId="196" fontId="123" fillId="23" borderId="32" xfId="94" applyNumberFormat="1" applyFont="1" applyFill="1" applyBorder="1" applyAlignment="1">
      <alignment horizontal="center"/>
    </xf>
    <xf numFmtId="196" fontId="123" fillId="27" borderId="44" xfId="94" applyNumberFormat="1" applyFont="1" applyFill="1" applyBorder="1" applyAlignment="1">
      <alignment horizontal="center"/>
    </xf>
    <xf numFmtId="196" fontId="123" fillId="23" borderId="43" xfId="94" applyNumberFormat="1" applyFont="1" applyFill="1" applyBorder="1" applyAlignment="1">
      <alignment horizontal="center"/>
    </xf>
    <xf numFmtId="196" fontId="123" fillId="27" borderId="43" xfId="94" applyNumberFormat="1" applyFont="1" applyFill="1" applyBorder="1" applyAlignment="1">
      <alignment horizontal="center"/>
    </xf>
    <xf numFmtId="0" fontId="123" fillId="23" borderId="32" xfId="94" applyFont="1" applyFill="1" applyBorder="1" applyAlignment="1">
      <alignment horizontal="center"/>
    </xf>
    <xf numFmtId="0" fontId="123" fillId="27" borderId="44" xfId="94" applyFont="1" applyFill="1" applyBorder="1" applyAlignment="1">
      <alignment horizontal="center"/>
    </xf>
    <xf numFmtId="0" fontId="122" fillId="23" borderId="10" xfId="94" applyFont="1" applyFill="1" applyBorder="1" applyAlignment="1">
      <alignment horizontal="center"/>
    </xf>
    <xf numFmtId="9" fontId="122" fillId="23" borderId="28" xfId="84" applyFont="1" applyFill="1" applyBorder="1" applyAlignment="1" applyProtection="1">
      <alignment horizontal="center"/>
    </xf>
    <xf numFmtId="199" fontId="122" fillId="23" borderId="0" xfId="97" applyNumberFormat="1" applyFont="1" applyFill="1" applyAlignment="1" applyProtection="1">
      <alignment horizontal="center"/>
    </xf>
    <xf numFmtId="10" fontId="122" fillId="23" borderId="28" xfId="84" applyNumberFormat="1" applyFont="1" applyFill="1" applyBorder="1" applyAlignment="1" applyProtection="1">
      <alignment horizontal="center"/>
    </xf>
    <xf numFmtId="0" fontId="122" fillId="10" borderId="17" xfId="94" applyFont="1" applyFill="1" applyBorder="1" applyAlignment="1">
      <alignment horizontal="center"/>
    </xf>
    <xf numFmtId="196" fontId="122" fillId="10" borderId="10" xfId="94" applyNumberFormat="1" applyFont="1" applyFill="1" applyBorder="1" applyAlignment="1">
      <alignment horizontal="center"/>
    </xf>
    <xf numFmtId="188" fontId="122" fillId="10" borderId="10" xfId="97" applyNumberFormat="1" applyFont="1" applyFill="1" applyBorder="1" applyAlignment="1" applyProtection="1">
      <alignment horizontal="center"/>
    </xf>
    <xf numFmtId="188" fontId="122" fillId="10" borderId="28" xfId="97" applyNumberFormat="1" applyFont="1" applyFill="1" applyBorder="1" applyAlignment="1" applyProtection="1">
      <alignment horizontal="center"/>
    </xf>
    <xf numFmtId="188" fontId="123" fillId="23" borderId="10" xfId="97" applyNumberFormat="1" applyFont="1" applyFill="1" applyBorder="1" applyAlignment="1" applyProtection="1">
      <alignment horizontal="center"/>
    </xf>
    <xf numFmtId="188" fontId="123" fillId="23" borderId="0" xfId="97" applyNumberFormat="1" applyFont="1" applyFill="1" applyBorder="1" applyAlignment="1" applyProtection="1">
      <alignment horizontal="center"/>
    </xf>
    <xf numFmtId="188" fontId="123" fillId="23" borderId="28" xfId="97" applyNumberFormat="1" applyFont="1" applyFill="1" applyBorder="1" applyAlignment="1" applyProtection="1">
      <alignment horizontal="center"/>
    </xf>
    <xf numFmtId="188" fontId="123" fillId="27" borderId="28" xfId="97" applyNumberFormat="1" applyFont="1" applyFill="1" applyBorder="1" applyAlignment="1" applyProtection="1">
      <alignment horizontal="center"/>
    </xf>
    <xf numFmtId="4" fontId="122" fillId="23" borderId="0" xfId="94" applyNumberFormat="1" applyFont="1" applyFill="1" applyAlignment="1">
      <alignment horizontal="center"/>
    </xf>
    <xf numFmtId="198" fontId="122" fillId="23" borderId="28" xfId="94" applyNumberFormat="1" applyFont="1" applyFill="1" applyBorder="1" applyAlignment="1">
      <alignment horizontal="center"/>
    </xf>
    <xf numFmtId="164" fontId="122" fillId="10" borderId="10" xfId="97" applyFont="1" applyFill="1" applyBorder="1" applyAlignment="1" applyProtection="1">
      <alignment horizontal="center"/>
    </xf>
    <xf numFmtId="0" fontId="122" fillId="23" borderId="32" xfId="94" applyFont="1" applyFill="1" applyBorder="1" applyAlignment="1">
      <alignment horizontal="center"/>
    </xf>
    <xf numFmtId="0" fontId="122" fillId="23" borderId="43" xfId="94" applyFont="1" applyFill="1" applyBorder="1" applyAlignment="1">
      <alignment horizontal="center"/>
    </xf>
    <xf numFmtId="0" fontId="122" fillId="23" borderId="44" xfId="94" applyFont="1" applyFill="1" applyBorder="1" applyAlignment="1">
      <alignment horizontal="center"/>
    </xf>
    <xf numFmtId="200" fontId="122" fillId="23" borderId="10" xfId="94" applyNumberFormat="1" applyFont="1" applyFill="1" applyBorder="1" applyAlignment="1">
      <alignment horizontal="center" vertical="center"/>
    </xf>
    <xf numFmtId="198" fontId="122" fillId="23" borderId="10" xfId="94" applyNumberFormat="1" applyFont="1" applyFill="1" applyBorder="1" applyAlignment="1">
      <alignment horizontal="center"/>
    </xf>
    <xf numFmtId="199" fontId="122" fillId="23" borderId="0" xfId="97" applyNumberFormat="1" applyFont="1" applyFill="1" applyBorder="1" applyAlignment="1" applyProtection="1">
      <alignment horizontal="center"/>
    </xf>
    <xf numFmtId="196" fontId="122" fillId="10" borderId="28" xfId="94" applyNumberFormat="1" applyFont="1" applyFill="1" applyBorder="1" applyAlignment="1">
      <alignment horizontal="center"/>
    </xf>
    <xf numFmtId="188" fontId="123" fillId="23" borderId="32" xfId="97" applyNumberFormat="1" applyFont="1" applyFill="1" applyBorder="1" applyAlignment="1" applyProtection="1">
      <alignment horizontal="center"/>
    </xf>
    <xf numFmtId="188" fontId="123" fillId="23" borderId="43" xfId="97" applyNumberFormat="1" applyFont="1" applyFill="1" applyBorder="1" applyAlignment="1" applyProtection="1">
      <alignment horizontal="center"/>
    </xf>
    <xf numFmtId="188" fontId="123" fillId="23" borderId="44" xfId="97" applyNumberFormat="1" applyFont="1" applyFill="1" applyBorder="1" applyAlignment="1" applyProtection="1">
      <alignment horizontal="center"/>
    </xf>
    <xf numFmtId="188" fontId="123" fillId="27" borderId="44" xfId="97" applyNumberFormat="1" applyFont="1" applyFill="1" applyBorder="1" applyAlignment="1" applyProtection="1">
      <alignment horizontal="center"/>
    </xf>
    <xf numFmtId="0" fontId="122" fillId="10" borderId="1" xfId="94" applyFont="1" applyFill="1" applyBorder="1" applyAlignment="1">
      <alignment horizontal="center"/>
    </xf>
    <xf numFmtId="196" fontId="122" fillId="10" borderId="2" xfId="94" applyNumberFormat="1" applyFont="1" applyFill="1" applyBorder="1" applyAlignment="1">
      <alignment horizontal="center"/>
    </xf>
    <xf numFmtId="196" fontId="122" fillId="10" borderId="14" xfId="94" applyNumberFormat="1" applyFont="1" applyFill="1" applyBorder="1" applyAlignment="1">
      <alignment horizontal="center"/>
    </xf>
    <xf numFmtId="196" fontId="122" fillId="10" borderId="13" xfId="94" applyNumberFormat="1" applyFont="1" applyFill="1" applyBorder="1" applyAlignment="1">
      <alignment horizontal="center"/>
    </xf>
    <xf numFmtId="188" fontId="122" fillId="10" borderId="2" xfId="97" applyNumberFormat="1" applyFont="1" applyFill="1" applyBorder="1" applyAlignment="1" applyProtection="1">
      <alignment horizontal="center"/>
    </xf>
    <xf numFmtId="188" fontId="122" fillId="10" borderId="13" xfId="97" applyNumberFormat="1" applyFont="1" applyFill="1" applyBorder="1" applyAlignment="1" applyProtection="1">
      <alignment horizontal="center"/>
    </xf>
    <xf numFmtId="188" fontId="126" fillId="23" borderId="2" xfId="97" applyNumberFormat="1" applyFont="1" applyFill="1" applyBorder="1" applyAlignment="1" applyProtection="1">
      <alignment horizontal="center"/>
    </xf>
    <xf numFmtId="188" fontId="126" fillId="27" borderId="14" xfId="97" applyNumberFormat="1" applyFont="1" applyFill="1" applyBorder="1" applyAlignment="1" applyProtection="1">
      <alignment horizontal="center"/>
    </xf>
    <xf numFmtId="188" fontId="126" fillId="23" borderId="14" xfId="97" applyNumberFormat="1" applyFont="1" applyFill="1" applyBorder="1" applyAlignment="1" applyProtection="1">
      <alignment horizontal="center"/>
    </xf>
    <xf numFmtId="188" fontId="126" fillId="27" borderId="13" xfId="97" applyNumberFormat="1" applyFont="1" applyFill="1" applyBorder="1" applyAlignment="1" applyProtection="1">
      <alignment horizontal="center"/>
    </xf>
    <xf numFmtId="0" fontId="122" fillId="10" borderId="43" xfId="94" applyFont="1" applyFill="1" applyBorder="1" applyAlignment="1">
      <alignment horizontal="center"/>
    </xf>
    <xf numFmtId="201" fontId="122" fillId="10" borderId="43" xfId="94" applyNumberFormat="1" applyFont="1" applyFill="1" applyBorder="1" applyAlignment="1">
      <alignment horizontal="center"/>
    </xf>
    <xf numFmtId="188" fontId="122" fillId="10" borderId="32" xfId="97" applyNumberFormat="1" applyFont="1" applyFill="1" applyBorder="1" applyAlignment="1" applyProtection="1">
      <alignment horizontal="center"/>
    </xf>
    <xf numFmtId="188" fontId="122" fillId="10" borderId="44" xfId="97" applyNumberFormat="1" applyFont="1" applyFill="1" applyBorder="1" applyAlignment="1" applyProtection="1">
      <alignment horizontal="center"/>
    </xf>
    <xf numFmtId="188" fontId="123" fillId="27" borderId="0" xfId="97" applyNumberFormat="1" applyFont="1" applyFill="1" applyBorder="1" applyAlignment="1" applyProtection="1">
      <alignment horizontal="center"/>
    </xf>
    <xf numFmtId="200" fontId="122" fillId="23" borderId="32" xfId="94" applyNumberFormat="1" applyFont="1" applyFill="1" applyBorder="1" applyAlignment="1">
      <alignment horizontal="center" vertical="center"/>
    </xf>
    <xf numFmtId="198" fontId="122" fillId="23" borderId="44" xfId="94" applyNumberFormat="1" applyFont="1" applyFill="1" applyBorder="1" applyAlignment="1">
      <alignment horizontal="center"/>
    </xf>
    <xf numFmtId="198" fontId="122" fillId="23" borderId="32" xfId="94" applyNumberFormat="1" applyFont="1" applyFill="1" applyBorder="1" applyAlignment="1">
      <alignment horizontal="center"/>
    </xf>
    <xf numFmtId="198" fontId="122" fillId="23" borderId="43" xfId="94" applyNumberFormat="1" applyFont="1" applyFill="1" applyBorder="1" applyAlignment="1">
      <alignment horizontal="center"/>
    </xf>
    <xf numFmtId="199" fontId="122" fillId="23" borderId="43" xfId="97" applyNumberFormat="1" applyFont="1" applyFill="1" applyBorder="1" applyAlignment="1" applyProtection="1">
      <alignment horizontal="center"/>
    </xf>
    <xf numFmtId="196" fontId="122" fillId="29" borderId="42" xfId="94" applyNumberFormat="1" applyFont="1" applyFill="1" applyBorder="1" applyAlignment="1" applyProtection="1">
      <alignment horizontal="center"/>
      <protection locked="0"/>
    </xf>
    <xf numFmtId="196" fontId="122" fillId="29" borderId="0" xfId="94" applyNumberFormat="1" applyFont="1" applyFill="1" applyAlignment="1" applyProtection="1">
      <alignment horizontal="center"/>
      <protection locked="0"/>
    </xf>
    <xf numFmtId="196" fontId="122" fillId="29" borderId="28" xfId="94" applyNumberFormat="1" applyFont="1" applyFill="1" applyBorder="1" applyAlignment="1" applyProtection="1">
      <alignment horizontal="center"/>
      <protection locked="0"/>
    </xf>
    <xf numFmtId="188" fontId="123" fillId="27" borderId="43" xfId="97" applyNumberFormat="1" applyFont="1" applyFill="1" applyBorder="1" applyAlignment="1" applyProtection="1">
      <alignment horizontal="center"/>
    </xf>
    <xf numFmtId="196" fontId="122" fillId="29" borderId="10" xfId="94" applyNumberFormat="1" applyFont="1" applyFill="1" applyBorder="1" applyAlignment="1">
      <alignment horizontal="center"/>
    </xf>
    <xf numFmtId="196" fontId="122" fillId="29" borderId="0" xfId="94" applyNumberFormat="1" applyFont="1" applyFill="1" applyAlignment="1">
      <alignment horizontal="center"/>
    </xf>
    <xf numFmtId="164" fontId="122" fillId="29" borderId="10" xfId="97" applyFont="1" applyFill="1" applyBorder="1" applyAlignment="1" applyProtection="1">
      <alignment horizontal="center"/>
    </xf>
    <xf numFmtId="188" fontId="122" fillId="10" borderId="0" xfId="97" applyNumberFormat="1" applyFont="1" applyFill="1" applyBorder="1" applyAlignment="1" applyProtection="1">
      <alignment horizontal="center"/>
    </xf>
    <xf numFmtId="4" fontId="123" fillId="23" borderId="0" xfId="94" applyNumberFormat="1" applyFont="1" applyFill="1" applyAlignment="1">
      <alignment horizontal="center"/>
    </xf>
    <xf numFmtId="4" fontId="123" fillId="27" borderId="0" xfId="94" applyNumberFormat="1" applyFont="1" applyFill="1" applyAlignment="1">
      <alignment horizontal="center"/>
    </xf>
    <xf numFmtId="0" fontId="3" fillId="0" borderId="0" xfId="100"/>
    <xf numFmtId="0" fontId="92" fillId="0" borderId="1" xfId="83" applyFont="1" applyBorder="1" applyAlignment="1">
      <alignment horizontal="center" vertical="center"/>
    </xf>
    <xf numFmtId="186" fontId="59" fillId="3" borderId="1" xfId="2" applyNumberFormat="1" applyFont="1" applyFill="1" applyBorder="1" applyAlignment="1" applyProtection="1">
      <alignment horizontal="center" vertical="center"/>
    </xf>
    <xf numFmtId="0" fontId="101" fillId="0" borderId="0" xfId="100" applyFont="1"/>
    <xf numFmtId="0" fontId="77" fillId="0" borderId="65" xfId="83" applyFont="1" applyBorder="1" applyAlignment="1">
      <alignment horizontal="center" vertical="center" wrapText="1"/>
    </xf>
    <xf numFmtId="0" fontId="101" fillId="0" borderId="26" xfId="100" applyFont="1" applyBorder="1" applyAlignment="1">
      <alignment horizontal="center" vertical="center" wrapText="1"/>
    </xf>
    <xf numFmtId="0" fontId="101" fillId="0" borderId="0" xfId="100" applyFont="1" applyAlignment="1">
      <alignment horizontal="center" vertical="center" wrapText="1"/>
    </xf>
    <xf numFmtId="0" fontId="127" fillId="0" borderId="2" xfId="100" applyFont="1" applyBorder="1" applyAlignment="1">
      <alignment horizontal="center" vertical="center" wrapText="1"/>
    </xf>
    <xf numFmtId="195" fontId="59" fillId="3" borderId="1" xfId="30" applyNumberFormat="1" applyFont="1" applyFill="1" applyBorder="1" applyAlignment="1" applyProtection="1">
      <alignment horizontal="center" vertical="center"/>
    </xf>
    <xf numFmtId="0" fontId="127" fillId="0" borderId="65" xfId="100" applyFont="1" applyBorder="1" applyAlignment="1">
      <alignment horizontal="center" vertical="center"/>
    </xf>
    <xf numFmtId="10" fontId="59" fillId="3" borderId="66" xfId="30" applyNumberFormat="1" applyFont="1" applyFill="1" applyBorder="1" applyAlignment="1" applyProtection="1">
      <alignment horizontal="center" vertical="center"/>
    </xf>
    <xf numFmtId="0" fontId="128" fillId="0" borderId="0" xfId="100" applyFont="1"/>
    <xf numFmtId="10" fontId="3" fillId="0" borderId="0" xfId="100" applyNumberFormat="1"/>
    <xf numFmtId="0" fontId="92" fillId="0" borderId="1" xfId="83" applyFont="1" applyBorder="1" applyAlignment="1">
      <alignment vertical="center"/>
    </xf>
    <xf numFmtId="0" fontId="60" fillId="0" borderId="1" xfId="83" applyFont="1" applyBorder="1" applyAlignment="1">
      <alignment vertical="center"/>
    </xf>
    <xf numFmtId="165" fontId="59" fillId="3" borderId="1" xfId="2" applyFont="1" applyFill="1" applyBorder="1" applyProtection="1"/>
    <xf numFmtId="0" fontId="101" fillId="0" borderId="0" xfId="100" applyFont="1" applyAlignment="1">
      <alignment vertical="center"/>
    </xf>
    <xf numFmtId="10" fontId="59" fillId="3" borderId="1" xfId="30" applyNumberFormat="1" applyFont="1" applyFill="1" applyBorder="1" applyProtection="1"/>
    <xf numFmtId="0" fontId="60" fillId="0" borderId="1" xfId="83" applyFont="1" applyBorder="1" applyAlignment="1">
      <alignment horizontal="left" vertical="center"/>
    </xf>
    <xf numFmtId="0" fontId="60" fillId="0" borderId="0" xfId="83" applyFont="1" applyAlignment="1">
      <alignment horizontal="center" vertical="center"/>
    </xf>
    <xf numFmtId="0" fontId="60" fillId="0" borderId="0" xfId="83" applyFont="1" applyAlignment="1">
      <alignment vertical="center"/>
    </xf>
    <xf numFmtId="0" fontId="92" fillId="27" borderId="0" xfId="83" applyFont="1" applyFill="1" applyAlignment="1">
      <alignment vertical="center"/>
    </xf>
    <xf numFmtId="0" fontId="60" fillId="22" borderId="0" xfId="83" applyFont="1" applyFill="1" applyAlignment="1">
      <alignment horizontal="center" vertical="center"/>
    </xf>
    <xf numFmtId="37" fontId="60" fillId="22" borderId="0" xfId="83" applyNumberFormat="1" applyFont="1" applyFill="1" applyAlignment="1">
      <alignment horizontal="center" vertical="center"/>
    </xf>
    <xf numFmtId="44" fontId="60" fillId="22" borderId="0" xfId="83" applyNumberFormat="1" applyFont="1" applyFill="1" applyAlignment="1">
      <alignment horizontal="center" vertical="center"/>
    </xf>
    <xf numFmtId="1" fontId="60" fillId="22" borderId="0" xfId="83" applyNumberFormat="1" applyFont="1" applyFill="1" applyAlignment="1">
      <alignment horizontal="center" vertical="center"/>
    </xf>
    <xf numFmtId="0" fontId="92" fillId="22" borderId="0" xfId="83" applyFont="1" applyFill="1" applyAlignment="1">
      <alignment horizontal="center" vertical="center"/>
    </xf>
    <xf numFmtId="0" fontId="129" fillId="4" borderId="0" xfId="83" applyFont="1" applyFill="1" applyAlignment="1">
      <alignment horizontal="center" vertical="center"/>
    </xf>
    <xf numFmtId="177" fontId="60" fillId="22" borderId="0" xfId="83" applyNumberFormat="1" applyFont="1" applyFill="1" applyAlignment="1">
      <alignment horizontal="center" vertical="center"/>
    </xf>
    <xf numFmtId="0" fontId="92" fillId="7" borderId="67" xfId="100" applyFont="1" applyFill="1" applyBorder="1" applyAlignment="1">
      <alignment vertical="center"/>
    </xf>
    <xf numFmtId="0" fontId="130" fillId="7" borderId="67" xfId="100" applyFont="1" applyFill="1" applyBorder="1" applyAlignment="1">
      <alignment horizontal="center" vertical="center"/>
    </xf>
    <xf numFmtId="0" fontId="127" fillId="7" borderId="67" xfId="100" applyFont="1" applyFill="1" applyBorder="1" applyAlignment="1">
      <alignment horizontal="center" vertical="center"/>
    </xf>
    <xf numFmtId="0" fontId="60" fillId="0" borderId="67" xfId="83" applyFont="1" applyBorder="1" applyAlignment="1">
      <alignment horizontal="left" vertical="center"/>
    </xf>
    <xf numFmtId="202" fontId="131" fillId="22" borderId="67" xfId="83" applyNumberFormat="1" applyFont="1" applyFill="1" applyBorder="1" applyAlignment="1">
      <alignment horizontal="center" vertical="center"/>
    </xf>
    <xf numFmtId="203" fontId="131" fillId="0" borderId="67" xfId="84" applyNumberFormat="1" applyFont="1" applyFill="1" applyBorder="1" applyAlignment="1" applyProtection="1">
      <alignment horizontal="center" vertical="center"/>
    </xf>
    <xf numFmtId="0" fontId="101" fillId="0" borderId="0" xfId="83" applyFont="1" applyAlignment="1">
      <alignment vertical="center"/>
    </xf>
    <xf numFmtId="203" fontId="101" fillId="0" borderId="67" xfId="84" applyNumberFormat="1" applyFont="1" applyFill="1" applyBorder="1" applyAlignment="1" applyProtection="1">
      <alignment horizontal="center" vertical="center"/>
    </xf>
    <xf numFmtId="177" fontId="129" fillId="4" borderId="67" xfId="101" applyNumberFormat="1" applyFont="1" applyFill="1" applyBorder="1" applyAlignment="1" applyProtection="1">
      <alignment horizontal="center" vertical="center"/>
    </xf>
    <xf numFmtId="177" fontId="101" fillId="0" borderId="67" xfId="102" applyNumberFormat="1" applyFont="1" applyFill="1" applyBorder="1" applyAlignment="1" applyProtection="1">
      <alignment horizontal="center" vertical="center"/>
    </xf>
    <xf numFmtId="204" fontId="129" fillId="4" borderId="67" xfId="84" applyNumberFormat="1" applyFont="1" applyFill="1" applyBorder="1" applyAlignment="1" applyProtection="1">
      <alignment horizontal="center" vertical="center"/>
    </xf>
    <xf numFmtId="204" fontId="101" fillId="0" borderId="67" xfId="84" applyNumberFormat="1" applyFont="1" applyFill="1" applyBorder="1" applyAlignment="1" applyProtection="1">
      <alignment horizontal="center" vertical="center"/>
    </xf>
    <xf numFmtId="0" fontId="92" fillId="0" borderId="0" xfId="100" applyFont="1" applyAlignment="1">
      <alignment vertical="center"/>
    </xf>
    <xf numFmtId="0" fontId="111" fillId="0" borderId="0" xfId="100" applyFont="1" applyAlignment="1">
      <alignment horizontal="center" vertical="center"/>
    </xf>
    <xf numFmtId="183" fontId="111" fillId="0" borderId="0" xfId="100" applyNumberFormat="1" applyFont="1" applyAlignment="1">
      <alignment horizontal="center" vertical="center"/>
    </xf>
    <xf numFmtId="0" fontId="111" fillId="0" borderId="0" xfId="100" applyFont="1" applyAlignment="1">
      <alignment vertical="center"/>
    </xf>
    <xf numFmtId="0" fontId="111" fillId="22" borderId="0" xfId="83" applyFont="1" applyFill="1" applyAlignment="1">
      <alignment vertical="center"/>
    </xf>
    <xf numFmtId="0" fontId="60" fillId="22" borderId="67" xfId="83" applyFont="1" applyFill="1" applyBorder="1" applyAlignment="1">
      <alignment horizontal="left" vertical="center"/>
    </xf>
    <xf numFmtId="202" fontId="101" fillId="22" borderId="67" xfId="83" applyNumberFormat="1" applyFont="1" applyFill="1" applyBorder="1" applyAlignment="1">
      <alignment horizontal="center" vertical="center"/>
    </xf>
    <xf numFmtId="10" fontId="101" fillId="31" borderId="67" xfId="102" applyNumberFormat="1" applyFont="1" applyFill="1" applyBorder="1" applyAlignment="1" applyProtection="1">
      <alignment horizontal="center" vertical="center"/>
    </xf>
    <xf numFmtId="10" fontId="101" fillId="0" borderId="67" xfId="102" applyNumberFormat="1" applyFont="1" applyFill="1" applyBorder="1" applyAlignment="1" applyProtection="1">
      <alignment horizontal="center" vertical="center"/>
    </xf>
    <xf numFmtId="0" fontId="101" fillId="22" borderId="68" xfId="83" applyFont="1" applyFill="1" applyBorder="1" applyAlignment="1">
      <alignment horizontal="center" vertical="center"/>
    </xf>
    <xf numFmtId="205" fontId="101" fillId="31" borderId="67" xfId="84" applyNumberFormat="1" applyFont="1" applyFill="1" applyBorder="1" applyAlignment="1" applyProtection="1">
      <alignment horizontal="center" vertical="center"/>
    </xf>
    <xf numFmtId="205" fontId="101" fillId="0" borderId="67" xfId="84" applyNumberFormat="1" applyFont="1" applyFill="1" applyBorder="1" applyAlignment="1" applyProtection="1">
      <alignment horizontal="center" vertical="center"/>
    </xf>
    <xf numFmtId="0" fontId="92" fillId="22" borderId="0" xfId="83" applyFont="1" applyFill="1" applyAlignment="1">
      <alignment vertical="center"/>
    </xf>
    <xf numFmtId="0" fontId="60" fillId="22" borderId="0" xfId="83" applyFont="1" applyFill="1" applyAlignment="1">
      <alignment vertical="center"/>
    </xf>
    <xf numFmtId="0" fontId="60" fillId="10" borderId="0" xfId="100" applyFont="1" applyFill="1" applyAlignment="1">
      <alignment vertical="center"/>
    </xf>
    <xf numFmtId="0" fontId="92" fillId="22" borderId="0" xfId="100" applyFont="1" applyFill="1" applyAlignment="1">
      <alignment vertical="center"/>
    </xf>
    <xf numFmtId="0" fontId="60" fillId="22" borderId="0" xfId="100" applyFont="1" applyFill="1" applyAlignment="1">
      <alignment vertical="center"/>
    </xf>
    <xf numFmtId="0" fontId="60" fillId="22" borderId="0" xfId="100" applyFont="1" applyFill="1" applyAlignment="1">
      <alignment horizontal="center" vertical="center"/>
    </xf>
    <xf numFmtId="0" fontId="92" fillId="22" borderId="0" xfId="100" applyFont="1" applyFill="1" applyAlignment="1">
      <alignment horizontal="center" vertical="center"/>
    </xf>
    <xf numFmtId="0" fontId="60" fillId="0" borderId="0" xfId="100" applyFont="1" applyAlignment="1">
      <alignment vertical="center"/>
    </xf>
    <xf numFmtId="0" fontId="60" fillId="22" borderId="69" xfId="100" applyFont="1" applyFill="1" applyBorder="1" applyAlignment="1">
      <alignment vertical="center"/>
    </xf>
    <xf numFmtId="10" fontId="60" fillId="0" borderId="68" xfId="102" applyNumberFormat="1" applyFont="1" applyFill="1" applyBorder="1" applyAlignment="1" applyProtection="1">
      <alignment horizontal="center" vertical="center"/>
    </xf>
    <xf numFmtId="0" fontId="101" fillId="22" borderId="0" xfId="83" applyFont="1" applyFill="1" applyAlignment="1">
      <alignment horizontal="center" vertical="center"/>
    </xf>
    <xf numFmtId="10" fontId="101" fillId="0" borderId="67" xfId="84" applyNumberFormat="1" applyFont="1" applyFill="1" applyBorder="1" applyAlignment="1" applyProtection="1">
      <alignment horizontal="center" vertical="center"/>
    </xf>
    <xf numFmtId="0" fontId="60" fillId="22" borderId="68" xfId="83" applyFont="1" applyFill="1" applyBorder="1" applyAlignment="1">
      <alignment horizontal="center" vertical="center"/>
    </xf>
    <xf numFmtId="9" fontId="60" fillId="4" borderId="67" xfId="102" applyFont="1" applyFill="1" applyBorder="1" applyAlignment="1" applyProtection="1">
      <alignment horizontal="center" vertical="center"/>
    </xf>
    <xf numFmtId="9" fontId="60" fillId="0" borderId="67" xfId="102" applyFont="1" applyBorder="1" applyAlignment="1" applyProtection="1">
      <alignment horizontal="center" vertical="center"/>
    </xf>
    <xf numFmtId="203" fontId="60" fillId="0" borderId="0" xfId="83" applyNumberFormat="1" applyFont="1" applyAlignment="1">
      <alignment horizontal="center" vertical="center"/>
    </xf>
    <xf numFmtId="0" fontId="132" fillId="0" borderId="0" xfId="100" applyFont="1" applyAlignment="1">
      <alignment vertical="center"/>
    </xf>
    <xf numFmtId="0" fontId="132" fillId="15" borderId="70" xfId="100" applyFont="1" applyFill="1" applyBorder="1" applyAlignment="1">
      <alignment horizontal="center" vertical="center"/>
    </xf>
    <xf numFmtId="0" fontId="101" fillId="15" borderId="0" xfId="100" applyFont="1" applyFill="1"/>
    <xf numFmtId="0" fontId="101" fillId="15" borderId="0" xfId="100" applyFont="1" applyFill="1" applyAlignment="1">
      <alignment horizontal="center" vertical="center"/>
    </xf>
    <xf numFmtId="37" fontId="133" fillId="0" borderId="70" xfId="101" applyNumberFormat="1" applyFont="1" applyBorder="1" applyAlignment="1" applyProtection="1">
      <alignment vertical="center"/>
    </xf>
    <xf numFmtId="0" fontId="128" fillId="0" borderId="0" xfId="100" applyFont="1" applyAlignment="1">
      <alignment horizontal="left" vertical="center"/>
    </xf>
    <xf numFmtId="37" fontId="128" fillId="0" borderId="0" xfId="101" applyNumberFormat="1" applyFont="1" applyAlignment="1" applyProtection="1">
      <alignment vertical="center"/>
    </xf>
    <xf numFmtId="37" fontId="130" fillId="0" borderId="70" xfId="101" applyNumberFormat="1" applyFont="1" applyBorder="1" applyAlignment="1" applyProtection="1">
      <alignment vertical="center"/>
    </xf>
    <xf numFmtId="0" fontId="127" fillId="0" borderId="0" xfId="100" applyFont="1" applyAlignment="1">
      <alignment horizontal="right" vertical="center"/>
    </xf>
    <xf numFmtId="37" fontId="127" fillId="0" borderId="0" xfId="101" applyNumberFormat="1" applyFont="1" applyAlignment="1" applyProtection="1">
      <alignment vertical="center"/>
    </xf>
    <xf numFmtId="0" fontId="112" fillId="0" borderId="0" xfId="100" applyFont="1" applyAlignment="1">
      <alignment horizontal="left" vertical="center"/>
    </xf>
    <xf numFmtId="37" fontId="130" fillId="0" borderId="70" xfId="101" applyNumberFormat="1" applyFont="1" applyFill="1" applyBorder="1" applyAlignment="1" applyProtection="1">
      <alignment vertical="center"/>
    </xf>
    <xf numFmtId="0" fontId="127" fillId="0" borderId="0" xfId="100" applyFont="1" applyAlignment="1">
      <alignment horizontal="right" vertical="center" wrapText="1"/>
    </xf>
    <xf numFmtId="37" fontId="127" fillId="0" borderId="0" xfId="101" applyNumberFormat="1" applyFont="1" applyFill="1" applyAlignment="1" applyProtection="1">
      <alignment vertical="center"/>
    </xf>
    <xf numFmtId="0" fontId="127" fillId="0" borderId="0" xfId="100" applyFont="1"/>
    <xf numFmtId="0" fontId="92" fillId="0" borderId="0" xfId="100" applyFont="1" applyAlignment="1">
      <alignment horizontal="right" vertical="center"/>
    </xf>
    <xf numFmtId="37" fontId="92" fillId="0" borderId="0" xfId="101" applyNumberFormat="1" applyFont="1" applyFill="1" applyAlignment="1" applyProtection="1">
      <alignment vertical="center"/>
    </xf>
    <xf numFmtId="37" fontId="133" fillId="0" borderId="70" xfId="101" applyNumberFormat="1" applyFont="1" applyFill="1" applyBorder="1" applyAlignment="1" applyProtection="1">
      <alignment vertical="center"/>
    </xf>
    <xf numFmtId="37" fontId="112" fillId="0" borderId="0" xfId="101" applyNumberFormat="1" applyFont="1" applyFill="1" applyAlignment="1" applyProtection="1">
      <alignment vertical="center"/>
    </xf>
    <xf numFmtId="37" fontId="130" fillId="23" borderId="70" xfId="101" applyNumberFormat="1" applyFont="1" applyFill="1" applyBorder="1" applyAlignment="1" applyProtection="1">
      <alignment vertical="center"/>
    </xf>
    <xf numFmtId="0" fontId="92" fillId="23" borderId="0" xfId="100" applyFont="1" applyFill="1" applyAlignment="1">
      <alignment horizontal="right" vertical="center"/>
    </xf>
    <xf numFmtId="37" fontId="92" fillId="23" borderId="0" xfId="101" applyNumberFormat="1" applyFont="1" applyFill="1" applyAlignment="1" applyProtection="1">
      <alignment vertical="center"/>
    </xf>
    <xf numFmtId="37" fontId="62" fillId="0" borderId="0" xfId="101" applyNumberFormat="1" applyFont="1" applyFill="1" applyAlignment="1" applyProtection="1">
      <alignment vertical="center"/>
    </xf>
    <xf numFmtId="37" fontId="133" fillId="0" borderId="71" xfId="101" applyNumberFormat="1" applyFont="1" applyFill="1" applyBorder="1" applyAlignment="1" applyProtection="1">
      <alignment vertical="center"/>
    </xf>
    <xf numFmtId="0" fontId="112" fillId="0" borderId="41" xfId="100" applyFont="1" applyBorder="1" applyAlignment="1">
      <alignment horizontal="left" vertical="center"/>
    </xf>
    <xf numFmtId="37" fontId="112" fillId="0" borderId="41" xfId="101" applyNumberFormat="1" applyFont="1" applyFill="1" applyBorder="1" applyAlignment="1" applyProtection="1">
      <alignment vertical="center"/>
    </xf>
    <xf numFmtId="176" fontId="132" fillId="0" borderId="72" xfId="102" applyNumberFormat="1" applyFont="1" applyFill="1" applyBorder="1" applyAlignment="1" applyProtection="1">
      <alignment horizontal="center" vertical="center"/>
    </xf>
    <xf numFmtId="0" fontId="134" fillId="0" borderId="43" xfId="100" applyFont="1" applyBorder="1" applyAlignment="1">
      <alignment horizontal="left" vertical="center" indent="4"/>
    </xf>
    <xf numFmtId="176" fontId="135" fillId="0" borderId="43" xfId="102" applyNumberFormat="1" applyFont="1" applyFill="1" applyBorder="1" applyAlignment="1" applyProtection="1">
      <alignment horizontal="center" vertical="center"/>
    </xf>
    <xf numFmtId="37" fontId="132" fillId="0" borderId="70" xfId="101" applyNumberFormat="1" applyFont="1" applyFill="1" applyBorder="1" applyAlignment="1" applyProtection="1">
      <alignment vertical="center"/>
    </xf>
    <xf numFmtId="0" fontId="60" fillId="0" borderId="0" xfId="100" applyFont="1" applyAlignment="1">
      <alignment horizontal="left" vertical="center"/>
    </xf>
    <xf numFmtId="37" fontId="60" fillId="0" borderId="0" xfId="101" applyNumberFormat="1" applyFont="1" applyFill="1" applyAlignment="1" applyProtection="1">
      <alignment vertical="center"/>
    </xf>
    <xf numFmtId="0" fontId="92" fillId="0" borderId="0" xfId="100" applyFont="1" applyAlignment="1">
      <alignment horizontal="left" vertical="center"/>
    </xf>
    <xf numFmtId="0" fontId="112" fillId="0" borderId="0" xfId="100" applyFont="1" applyAlignment="1">
      <alignment horizontal="left" vertical="center" indent="3"/>
    </xf>
    <xf numFmtId="176" fontId="132" fillId="0" borderId="70" xfId="102" applyNumberFormat="1" applyFont="1" applyFill="1" applyBorder="1" applyAlignment="1" applyProtection="1">
      <alignment horizontal="center" vertical="center"/>
    </xf>
    <xf numFmtId="0" fontId="134" fillId="0" borderId="0" xfId="100" applyFont="1" applyAlignment="1">
      <alignment horizontal="left" vertical="center" indent="4"/>
    </xf>
    <xf numFmtId="176" fontId="135" fillId="0" borderId="0" xfId="102" applyNumberFormat="1" applyFont="1" applyFill="1" applyAlignment="1" applyProtection="1">
      <alignment horizontal="center" vertical="center"/>
    </xf>
    <xf numFmtId="166" fontId="101" fillId="0" borderId="0" xfId="100" applyNumberFormat="1" applyFont="1" applyAlignment="1">
      <alignment vertical="center"/>
    </xf>
    <xf numFmtId="0" fontId="92" fillId="0" borderId="0" xfId="83" applyFont="1" applyAlignment="1">
      <alignment vertical="center"/>
    </xf>
    <xf numFmtId="203" fontId="132" fillId="0" borderId="0" xfId="100" applyNumberFormat="1" applyFont="1" applyAlignment="1">
      <alignment vertical="center"/>
    </xf>
    <xf numFmtId="0" fontId="92" fillId="22" borderId="2" xfId="83" applyFont="1" applyFill="1" applyBorder="1" applyAlignment="1">
      <alignment vertical="center"/>
    </xf>
    <xf numFmtId="203" fontId="132" fillId="22" borderId="14" xfId="100" applyNumberFormat="1" applyFont="1" applyFill="1" applyBorder="1" applyAlignment="1">
      <alignment vertical="center"/>
    </xf>
    <xf numFmtId="166" fontId="101" fillId="22" borderId="14" xfId="100" applyNumberFormat="1" applyFont="1" applyFill="1" applyBorder="1" applyAlignment="1">
      <alignment vertical="center"/>
    </xf>
    <xf numFmtId="166" fontId="101" fillId="22" borderId="13" xfId="100" applyNumberFormat="1" applyFont="1" applyFill="1" applyBorder="1" applyAlignment="1">
      <alignment vertical="center"/>
    </xf>
    <xf numFmtId="166" fontId="101" fillId="0" borderId="14" xfId="100" applyNumberFormat="1" applyFont="1" applyBorder="1" applyAlignment="1">
      <alignment vertical="center"/>
    </xf>
    <xf numFmtId="0" fontId="129" fillId="22" borderId="73" xfId="83" applyFont="1" applyFill="1" applyBorder="1" applyAlignment="1">
      <alignment vertical="center"/>
    </xf>
    <xf numFmtId="203" fontId="129" fillId="22" borderId="73" xfId="100" applyNumberFormat="1" applyFont="1" applyFill="1" applyBorder="1" applyAlignment="1">
      <alignment vertical="center"/>
    </xf>
    <xf numFmtId="166" fontId="129" fillId="22" borderId="73" xfId="100" applyNumberFormat="1" applyFont="1" applyFill="1" applyBorder="1" applyAlignment="1">
      <alignment vertical="center"/>
    </xf>
    <xf numFmtId="166" fontId="101" fillId="0" borderId="0" xfId="100" applyNumberFormat="1" applyFont="1"/>
    <xf numFmtId="203" fontId="130" fillId="0" borderId="0" xfId="100" applyNumberFormat="1" applyFont="1" applyAlignment="1">
      <alignment vertical="center"/>
    </xf>
    <xf numFmtId="37" fontId="101" fillId="0" borderId="0" xfId="100" applyNumberFormat="1" applyFont="1"/>
    <xf numFmtId="166" fontId="101" fillId="0" borderId="0" xfId="101" applyNumberFormat="1" applyFont="1" applyProtection="1"/>
    <xf numFmtId="10" fontId="101" fillId="0" borderId="0" xfId="102" applyNumberFormat="1" applyFont="1" applyProtection="1"/>
    <xf numFmtId="37" fontId="101" fillId="0" borderId="0" xfId="100" applyNumberFormat="1" applyFont="1" applyAlignment="1">
      <alignment vertical="center"/>
    </xf>
    <xf numFmtId="37" fontId="132" fillId="0" borderId="70" xfId="101" applyNumberFormat="1" applyFont="1" applyBorder="1" applyAlignment="1" applyProtection="1">
      <alignment vertical="center"/>
    </xf>
    <xf numFmtId="37" fontId="101" fillId="0" borderId="0" xfId="101" applyNumberFormat="1" applyFont="1" applyAlignment="1" applyProtection="1">
      <alignment vertical="center"/>
    </xf>
    <xf numFmtId="37" fontId="130" fillId="0" borderId="74" xfId="101" applyNumberFormat="1" applyFont="1" applyFill="1" applyBorder="1" applyAlignment="1" applyProtection="1">
      <alignment vertical="center"/>
    </xf>
    <xf numFmtId="0" fontId="127" fillId="0" borderId="75" xfId="100" applyFont="1" applyBorder="1" applyAlignment="1">
      <alignment horizontal="right" vertical="center"/>
    </xf>
    <xf numFmtId="37" fontId="127" fillId="0" borderId="74" xfId="101" applyNumberFormat="1" applyFont="1" applyFill="1" applyBorder="1" applyAlignment="1" applyProtection="1">
      <alignment vertical="center"/>
    </xf>
    <xf numFmtId="37" fontId="130" fillId="0" borderId="0" xfId="101" applyNumberFormat="1" applyFont="1" applyFill="1" applyBorder="1" applyAlignment="1" applyProtection="1">
      <alignment vertical="center"/>
    </xf>
    <xf numFmtId="37" fontId="127" fillId="0" borderId="0" xfId="101" applyNumberFormat="1" applyFont="1" applyFill="1" applyBorder="1" applyAlignment="1" applyProtection="1">
      <alignment vertical="center"/>
    </xf>
    <xf numFmtId="37" fontId="132" fillId="0" borderId="0" xfId="100" applyNumberFormat="1" applyFont="1" applyAlignment="1">
      <alignment vertical="center"/>
    </xf>
    <xf numFmtId="0" fontId="3" fillId="0" borderId="0" xfId="100" applyAlignment="1">
      <alignment horizontal="left" vertical="center" wrapText="1"/>
    </xf>
    <xf numFmtId="0" fontId="136" fillId="0" borderId="0" xfId="100" applyFont="1" applyAlignment="1">
      <alignment vertical="center"/>
    </xf>
    <xf numFmtId="0" fontId="3" fillId="0" borderId="0" xfId="100" applyAlignment="1">
      <alignment vertical="center"/>
    </xf>
    <xf numFmtId="10" fontId="0" fillId="0" borderId="0" xfId="102" applyNumberFormat="1" applyFont="1" applyAlignment="1" applyProtection="1">
      <alignment vertical="center"/>
    </xf>
    <xf numFmtId="44" fontId="0" fillId="0" borderId="0" xfId="103" applyFont="1" applyAlignment="1" applyProtection="1">
      <alignment vertical="center"/>
    </xf>
    <xf numFmtId="206" fontId="137" fillId="0" borderId="0" xfId="103" applyNumberFormat="1" applyFont="1" applyAlignment="1" applyProtection="1">
      <alignment vertical="center"/>
    </xf>
    <xf numFmtId="0" fontId="3" fillId="0" borderId="0" xfId="100" applyAlignment="1">
      <alignment wrapText="1"/>
    </xf>
    <xf numFmtId="0" fontId="61" fillId="15" borderId="70" xfId="100" applyFont="1" applyFill="1" applyBorder="1" applyAlignment="1">
      <alignment horizontal="center" vertical="center"/>
    </xf>
    <xf numFmtId="166" fontId="0" fillId="32" borderId="15" xfId="103" applyNumberFormat="1" applyFont="1" applyFill="1" applyBorder="1" applyAlignment="1" applyProtection="1">
      <alignment vertical="center"/>
    </xf>
    <xf numFmtId="166" fontId="132" fillId="32" borderId="71" xfId="103" applyNumberFormat="1" applyFont="1" applyFill="1" applyBorder="1" applyAlignment="1" applyProtection="1">
      <alignment vertical="center"/>
    </xf>
    <xf numFmtId="166" fontId="101" fillId="32" borderId="41" xfId="103" applyNumberFormat="1" applyFont="1" applyFill="1" applyBorder="1" applyAlignment="1" applyProtection="1">
      <alignment vertical="center"/>
    </xf>
    <xf numFmtId="166" fontId="0" fillId="32" borderId="10" xfId="103" applyNumberFormat="1" applyFont="1" applyFill="1" applyBorder="1" applyAlignment="1" applyProtection="1">
      <alignment vertical="center"/>
    </xf>
    <xf numFmtId="43" fontId="132" fillId="32" borderId="70" xfId="103" applyNumberFormat="1" applyFont="1" applyFill="1" applyBorder="1" applyAlignment="1" applyProtection="1">
      <alignment vertical="center"/>
    </xf>
    <xf numFmtId="166" fontId="101" fillId="32" borderId="0" xfId="103" applyNumberFormat="1" applyFont="1" applyFill="1" applyBorder="1" applyAlignment="1" applyProtection="1">
      <alignment vertical="center"/>
    </xf>
    <xf numFmtId="166" fontId="0" fillId="32" borderId="32" xfId="103" applyNumberFormat="1" applyFont="1" applyFill="1" applyBorder="1" applyAlignment="1" applyProtection="1">
      <alignment vertical="center"/>
    </xf>
    <xf numFmtId="166" fontId="132" fillId="32" borderId="72" xfId="103" applyNumberFormat="1" applyFont="1" applyFill="1" applyBorder="1" applyAlignment="1" applyProtection="1">
      <alignment vertical="center"/>
    </xf>
    <xf numFmtId="166" fontId="101" fillId="32" borderId="43" xfId="103" applyNumberFormat="1" applyFont="1" applyFill="1" applyBorder="1" applyAlignment="1" applyProtection="1">
      <alignment vertical="center"/>
    </xf>
    <xf numFmtId="166" fontId="132" fillId="32" borderId="70" xfId="103" applyNumberFormat="1" applyFont="1" applyFill="1" applyBorder="1" applyAlignment="1" applyProtection="1">
      <alignment vertical="center"/>
    </xf>
    <xf numFmtId="166" fontId="0" fillId="32" borderId="76" xfId="103" applyNumberFormat="1" applyFont="1" applyFill="1" applyBorder="1" applyAlignment="1" applyProtection="1">
      <alignment vertical="center"/>
    </xf>
    <xf numFmtId="166" fontId="132" fillId="32" borderId="77" xfId="103" applyNumberFormat="1" applyFont="1" applyFill="1" applyBorder="1" applyAlignment="1" applyProtection="1">
      <alignment vertical="center"/>
    </xf>
    <xf numFmtId="166" fontId="101" fillId="32" borderId="78" xfId="103" applyNumberFormat="1" applyFont="1" applyFill="1" applyBorder="1" applyAlignment="1" applyProtection="1">
      <alignment vertical="center"/>
    </xf>
    <xf numFmtId="0" fontId="59" fillId="23" borderId="10" xfId="100" applyFont="1" applyFill="1" applyBorder="1" applyAlignment="1">
      <alignment vertical="center"/>
    </xf>
    <xf numFmtId="166" fontId="127" fillId="23" borderId="0" xfId="103" applyNumberFormat="1" applyFont="1" applyFill="1" applyBorder="1" applyAlignment="1" applyProtection="1">
      <alignment vertical="center"/>
    </xf>
    <xf numFmtId="0" fontId="59" fillId="23" borderId="32" xfId="100" applyFont="1" applyFill="1" applyBorder="1" applyAlignment="1">
      <alignment vertical="center"/>
    </xf>
    <xf numFmtId="37" fontId="130" fillId="23" borderId="72" xfId="101" applyNumberFormat="1" applyFont="1" applyFill="1" applyBorder="1" applyAlignment="1" applyProtection="1">
      <alignment vertical="center"/>
    </xf>
    <xf numFmtId="166" fontId="127" fillId="23" borderId="43" xfId="103" applyNumberFormat="1" applyFont="1" applyFill="1" applyBorder="1" applyAlignment="1" applyProtection="1">
      <alignment vertical="center"/>
    </xf>
    <xf numFmtId="166" fontId="60" fillId="33" borderId="15" xfId="103" applyNumberFormat="1" applyFont="1" applyFill="1" applyBorder="1" applyAlignment="1" applyProtection="1">
      <alignment vertical="center"/>
    </xf>
    <xf numFmtId="166" fontId="60" fillId="33" borderId="41" xfId="103" applyNumberFormat="1" applyFont="1" applyFill="1" applyBorder="1" applyAlignment="1" applyProtection="1">
      <alignment vertical="center"/>
    </xf>
    <xf numFmtId="166" fontId="60" fillId="33" borderId="42" xfId="103" applyNumberFormat="1" applyFont="1" applyFill="1" applyBorder="1" applyAlignment="1" applyProtection="1">
      <alignment vertical="center"/>
    </xf>
    <xf numFmtId="166" fontId="60" fillId="33" borderId="10" xfId="103" applyNumberFormat="1" applyFont="1" applyFill="1" applyBorder="1" applyAlignment="1" applyProtection="1">
      <alignment vertical="center"/>
    </xf>
    <xf numFmtId="166" fontId="60" fillId="33" borderId="0" xfId="103" applyNumberFormat="1" applyFont="1" applyFill="1" applyBorder="1" applyAlignment="1" applyProtection="1">
      <alignment vertical="center"/>
    </xf>
    <xf numFmtId="166" fontId="60" fillId="33" borderId="28" xfId="103" applyNumberFormat="1" applyFont="1" applyFill="1" applyBorder="1" applyAlignment="1" applyProtection="1">
      <alignment vertical="center"/>
    </xf>
    <xf numFmtId="166" fontId="60" fillId="33" borderId="32" xfId="103" applyNumberFormat="1" applyFont="1" applyFill="1" applyBorder="1" applyAlignment="1" applyProtection="1">
      <alignment vertical="center"/>
    </xf>
    <xf numFmtId="166" fontId="60" fillId="33" borderId="43" xfId="103" applyNumberFormat="1" applyFont="1" applyFill="1" applyBorder="1" applyAlignment="1" applyProtection="1">
      <alignment vertical="center"/>
    </xf>
    <xf numFmtId="166" fontId="60" fillId="33" borderId="44" xfId="103" applyNumberFormat="1" applyFont="1" applyFill="1" applyBorder="1" applyAlignment="1" applyProtection="1">
      <alignment vertical="center"/>
    </xf>
    <xf numFmtId="9" fontId="0" fillId="0" borderId="0" xfId="102" applyFont="1" applyAlignment="1" applyProtection="1">
      <alignment horizontal="left" vertical="center" wrapText="1"/>
    </xf>
    <xf numFmtId="43" fontId="3" fillId="0" borderId="0" xfId="100" applyNumberFormat="1"/>
    <xf numFmtId="0" fontId="60" fillId="0" borderId="0" xfId="104" applyFont="1"/>
    <xf numFmtId="188" fontId="60" fillId="0" borderId="0" xfId="86" applyNumberFormat="1" applyFont="1" applyAlignment="1" applyProtection="1">
      <alignment vertical="center"/>
    </xf>
    <xf numFmtId="188" fontId="60" fillId="0" borderId="0" xfId="86" applyNumberFormat="1" applyFont="1" applyProtection="1"/>
    <xf numFmtId="188" fontId="139" fillId="0" borderId="0" xfId="86" applyNumberFormat="1" applyFont="1" applyAlignment="1" applyProtection="1">
      <alignment vertical="center"/>
    </xf>
    <xf numFmtId="0" fontId="127" fillId="15" borderId="1" xfId="100" applyFont="1" applyFill="1" applyBorder="1" applyAlignment="1">
      <alignment horizontal="center" vertical="center"/>
    </xf>
    <xf numFmtId="164" fontId="92" fillId="15" borderId="1" xfId="86" applyNumberFormat="1" applyFont="1" applyFill="1" applyBorder="1" applyAlignment="1" applyProtection="1">
      <alignment horizontal="center" vertical="center"/>
    </xf>
    <xf numFmtId="164" fontId="60" fillId="0" borderId="0" xfId="86" applyNumberFormat="1" applyFont="1" applyAlignment="1" applyProtection="1">
      <alignment vertical="center"/>
    </xf>
    <xf numFmtId="194" fontId="92" fillId="15" borderId="1" xfId="87" applyNumberFormat="1" applyFont="1" applyFill="1" applyBorder="1" applyAlignment="1" applyProtection="1">
      <alignment horizontal="center" vertical="center" wrapText="1"/>
    </xf>
    <xf numFmtId="164" fontId="92" fillId="15" borderId="1" xfId="86" applyNumberFormat="1" applyFont="1" applyFill="1" applyBorder="1" applyAlignment="1" applyProtection="1">
      <alignment horizontal="center" vertical="center" wrapText="1"/>
    </xf>
    <xf numFmtId="1" fontId="60" fillId="0" borderId="1" xfId="86" applyNumberFormat="1" applyFont="1" applyFill="1" applyBorder="1" applyAlignment="1" applyProtection="1">
      <alignment horizontal="center"/>
    </xf>
    <xf numFmtId="169" fontId="60" fillId="0" borderId="1" xfId="103" applyNumberFormat="1" applyFont="1" applyFill="1" applyBorder="1" applyAlignment="1" applyProtection="1">
      <alignment horizontal="right" vertical="center" indent="2"/>
    </xf>
    <xf numFmtId="1" fontId="60" fillId="0" borderId="1" xfId="86" applyNumberFormat="1" applyFont="1" applyFill="1" applyBorder="1" applyAlignment="1" applyProtection="1">
      <alignment horizontal="center" vertical="center"/>
    </xf>
    <xf numFmtId="188" fontId="60" fillId="15" borderId="1" xfId="86" applyNumberFormat="1" applyFont="1" applyFill="1" applyBorder="1" applyAlignment="1" applyProtection="1">
      <alignment vertical="center"/>
    </xf>
    <xf numFmtId="4" fontId="60" fillId="15" borderId="1" xfId="86" applyNumberFormat="1" applyFont="1" applyFill="1" applyBorder="1" applyAlignment="1" applyProtection="1">
      <alignment vertical="center"/>
    </xf>
    <xf numFmtId="4" fontId="92" fillId="15" borderId="1" xfId="86" applyNumberFormat="1" applyFont="1" applyFill="1" applyBorder="1" applyAlignment="1" applyProtection="1">
      <alignment horizontal="center" vertical="center"/>
    </xf>
    <xf numFmtId="164" fontId="92" fillId="15" borderId="1" xfId="86" applyNumberFormat="1" applyFont="1" applyFill="1" applyBorder="1" applyAlignment="1" applyProtection="1">
      <alignment vertical="center"/>
    </xf>
    <xf numFmtId="188" fontId="60" fillId="0" borderId="0" xfId="86" applyNumberFormat="1" applyFont="1" applyFill="1" applyAlignment="1" applyProtection="1">
      <alignment vertical="center"/>
    </xf>
    <xf numFmtId="195" fontId="69" fillId="23" borderId="44" xfId="30" applyNumberFormat="1" applyFont="1" applyFill="1" applyBorder="1" applyAlignment="1">
      <alignment horizontal="center" vertical="center"/>
    </xf>
    <xf numFmtId="37" fontId="133" fillId="22" borderId="70" xfId="101" applyNumberFormat="1" applyFont="1" applyFill="1" applyBorder="1" applyAlignment="1" applyProtection="1">
      <alignment vertical="center"/>
    </xf>
    <xf numFmtId="37" fontId="112" fillId="22" borderId="0" xfId="101" applyNumberFormat="1" applyFont="1" applyFill="1" applyAlignment="1" applyProtection="1">
      <alignment vertical="center"/>
    </xf>
    <xf numFmtId="0" fontId="128" fillId="22" borderId="0" xfId="100" applyFont="1" applyFill="1"/>
    <xf numFmtId="0" fontId="112" fillId="22" borderId="0" xfId="100" applyFont="1" applyFill="1" applyAlignment="1">
      <alignment horizontal="right" vertical="center"/>
    </xf>
    <xf numFmtId="0" fontId="112" fillId="0" borderId="0" xfId="100" applyFont="1" applyAlignment="1">
      <alignment horizontal="right" vertical="center"/>
    </xf>
    <xf numFmtId="37" fontId="112" fillId="0" borderId="70" xfId="101" applyNumberFormat="1" applyFont="1" applyFill="1" applyBorder="1" applyAlignment="1" applyProtection="1">
      <alignment vertical="center"/>
    </xf>
    <xf numFmtId="0" fontId="112" fillId="0" borderId="0" xfId="100" applyFont="1"/>
    <xf numFmtId="7" fontId="123" fillId="23" borderId="0" xfId="94" applyNumberFormat="1" applyFont="1" applyFill="1" applyAlignment="1">
      <alignment horizontal="center"/>
    </xf>
    <xf numFmtId="165" fontId="61" fillId="35" borderId="0" xfId="0" applyNumberFormat="1" applyFont="1" applyFill="1"/>
    <xf numFmtId="2" fontId="61" fillId="0" borderId="0" xfId="0" applyNumberFormat="1" applyFont="1"/>
    <xf numFmtId="209" fontId="64" fillId="0" borderId="0" xfId="0" applyNumberFormat="1" applyFont="1"/>
    <xf numFmtId="4" fontId="61" fillId="0" borderId="0" xfId="0" applyNumberFormat="1" applyFont="1"/>
    <xf numFmtId="0" fontId="58" fillId="0" borderId="0" xfId="0" applyFont="1"/>
    <xf numFmtId="165" fontId="61" fillId="0" borderId="0" xfId="2" applyFont="1"/>
    <xf numFmtId="16" fontId="61" fillId="0" borderId="0" xfId="0" applyNumberFormat="1" applyFont="1"/>
    <xf numFmtId="176" fontId="61" fillId="0" borderId="0" xfId="0" applyNumberFormat="1" applyFont="1"/>
    <xf numFmtId="201" fontId="144" fillId="10" borderId="43" xfId="94" applyNumberFormat="1" applyFont="1" applyFill="1" applyBorder="1" applyAlignment="1">
      <alignment horizontal="center"/>
    </xf>
    <xf numFmtId="0" fontId="65" fillId="0" borderId="1" xfId="93" applyFont="1" applyFill="1" applyBorder="1" applyAlignment="1" applyProtection="1">
      <alignment horizontal="left" vertical="center"/>
    </xf>
    <xf numFmtId="0" fontId="61" fillId="0" borderId="1" xfId="93" applyFont="1" applyFill="1" applyBorder="1" applyAlignment="1" applyProtection="1">
      <alignment horizontal="left" vertical="center" indent="1"/>
    </xf>
    <xf numFmtId="0" fontId="61" fillId="0" borderId="1" xfId="93" applyFont="1" applyFill="1" applyBorder="1" applyAlignment="1" applyProtection="1">
      <alignment horizontal="left" vertical="center"/>
    </xf>
    <xf numFmtId="0" fontId="65" fillId="23" borderId="1" xfId="93" applyFont="1" applyFill="1" applyBorder="1" applyAlignment="1" applyProtection="1">
      <alignment horizontal="left" vertical="center"/>
    </xf>
    <xf numFmtId="0" fontId="61" fillId="23" borderId="1" xfId="105" applyFont="1" applyFill="1" applyBorder="1" applyAlignment="1">
      <alignment horizontal="left" vertical="center" indent="1"/>
    </xf>
    <xf numFmtId="205" fontId="61" fillId="0" borderId="1" xfId="106" applyNumberFormat="1" applyFont="1" applyFill="1" applyBorder="1" applyAlignment="1" applyProtection="1">
      <alignment horizontal="center" vertical="center"/>
    </xf>
    <xf numFmtId="0" fontId="61" fillId="0" borderId="0" xfId="105" applyFont="1" applyAlignment="1">
      <alignment vertical="center"/>
    </xf>
    <xf numFmtId="0" fontId="65" fillId="0" borderId="1" xfId="94" applyFont="1" applyBorder="1" applyAlignment="1">
      <alignment horizontal="center" vertical="center"/>
    </xf>
    <xf numFmtId="176" fontId="61" fillId="0" borderId="1" xfId="106" applyNumberFormat="1" applyFont="1" applyFill="1" applyBorder="1" applyAlignment="1" applyProtection="1">
      <alignment horizontal="center" vertical="center"/>
    </xf>
    <xf numFmtId="208" fontId="61" fillId="0" borderId="1" xfId="108" applyNumberFormat="1" applyFont="1" applyFill="1" applyBorder="1" applyAlignment="1" applyProtection="1">
      <alignment horizontal="center" vertical="center"/>
    </xf>
    <xf numFmtId="0" fontId="61" fillId="0" borderId="1" xfId="105" applyFont="1" applyBorder="1" applyAlignment="1">
      <alignment vertical="center"/>
    </xf>
    <xf numFmtId="207" fontId="61" fillId="0" borderId="1" xfId="106" applyNumberFormat="1" applyFont="1" applyFill="1" applyBorder="1" applyAlignment="1" applyProtection="1">
      <alignment horizontal="center" vertical="center"/>
    </xf>
    <xf numFmtId="0" fontId="61" fillId="0" borderId="0" xfId="105" applyFont="1"/>
    <xf numFmtId="0" fontId="61" fillId="0" borderId="0" xfId="105" applyFont="1" applyAlignment="1">
      <alignment horizontal="center"/>
    </xf>
    <xf numFmtId="0" fontId="65" fillId="0" borderId="1" xfId="93" applyFont="1" applyFill="1" applyBorder="1" applyAlignment="1" applyProtection="1">
      <alignment horizontal="center" vertical="center"/>
    </xf>
    <xf numFmtId="2" fontId="61" fillId="0" borderId="1" xfId="93" applyNumberFormat="1" applyFont="1" applyFill="1" applyBorder="1" applyAlignment="1" applyProtection="1">
      <alignment horizontal="center" vertical="center"/>
    </xf>
    <xf numFmtId="0" fontId="61" fillId="0" borderId="0" xfId="105" applyFont="1" applyAlignment="1">
      <alignment horizontal="center" vertical="center"/>
    </xf>
    <xf numFmtId="0" fontId="65" fillId="0" borderId="0" xfId="105" applyFont="1"/>
    <xf numFmtId="10" fontId="61" fillId="0" borderId="1" xfId="105" applyNumberFormat="1" applyFont="1" applyBorder="1" applyAlignment="1">
      <alignment vertical="center"/>
    </xf>
    <xf numFmtId="0" fontId="61" fillId="0" borderId="1" xfId="105" applyFont="1" applyBorder="1"/>
    <xf numFmtId="0" fontId="99" fillId="0" borderId="0" xfId="94" applyFont="1" applyAlignment="1">
      <alignment vertical="center"/>
    </xf>
    <xf numFmtId="0" fontId="61" fillId="0" borderId="0" xfId="94" applyFont="1" applyAlignment="1">
      <alignment vertical="center"/>
    </xf>
    <xf numFmtId="0" fontId="61" fillId="0" borderId="0" xfId="93" applyFont="1" applyFill="1" applyBorder="1" applyAlignment="1" applyProtection="1">
      <alignment vertical="center"/>
    </xf>
    <xf numFmtId="0" fontId="61" fillId="0" borderId="0" xfId="93" applyFont="1" applyFill="1" applyAlignment="1" applyProtection="1">
      <alignment vertical="center"/>
    </xf>
    <xf numFmtId="0" fontId="65" fillId="0" borderId="1" xfId="105" applyFont="1" applyBorder="1" applyAlignment="1">
      <alignment horizontal="center" vertical="center"/>
    </xf>
    <xf numFmtId="10" fontId="61" fillId="0" borderId="0" xfId="105" applyNumberFormat="1" applyFont="1" applyAlignment="1">
      <alignment vertical="center"/>
    </xf>
    <xf numFmtId="0" fontId="61" fillId="0" borderId="0" xfId="105" applyFont="1" applyAlignment="1">
      <alignment horizontal="left" vertical="center"/>
    </xf>
    <xf numFmtId="176" fontId="61" fillId="0" borderId="0" xfId="105" applyNumberFormat="1" applyFont="1"/>
    <xf numFmtId="0" fontId="65" fillId="0" borderId="1" xfId="105" applyFont="1" applyBorder="1"/>
    <xf numFmtId="0" fontId="61" fillId="0" borderId="1" xfId="89" applyFont="1" applyBorder="1" applyAlignment="1">
      <alignment horizontal="center" vertical="center"/>
    </xf>
    <xf numFmtId="182" fontId="61" fillId="0" borderId="1" xfId="90" applyNumberFormat="1" applyFont="1" applyFill="1" applyBorder="1" applyAlignment="1" applyProtection="1">
      <alignment horizontal="center" vertical="center"/>
    </xf>
    <xf numFmtId="168" fontId="61" fillId="0" borderId="1" xfId="90" applyNumberFormat="1" applyFont="1" applyFill="1" applyBorder="1" applyAlignment="1" applyProtection="1">
      <alignment horizontal="center" vertical="center"/>
    </xf>
    <xf numFmtId="4" fontId="61" fillId="0" borderId="1" xfId="90" applyNumberFormat="1" applyFont="1" applyFill="1" applyBorder="1" applyAlignment="1" applyProtection="1">
      <alignment horizontal="center" vertical="center"/>
    </xf>
    <xf numFmtId="0" fontId="65" fillId="0" borderId="1" xfId="105" applyFont="1" applyBorder="1" applyAlignment="1">
      <alignment horizontal="center"/>
    </xf>
    <xf numFmtId="2" fontId="61" fillId="0" borderId="1" xfId="105" applyNumberFormat="1" applyFont="1" applyBorder="1" applyAlignment="1">
      <alignment horizontal="center"/>
    </xf>
    <xf numFmtId="176" fontId="61" fillId="0" borderId="1" xfId="106" applyNumberFormat="1" applyFont="1" applyFill="1" applyBorder="1" applyAlignment="1" applyProtection="1">
      <alignment horizontal="center"/>
    </xf>
    <xf numFmtId="4" fontId="65" fillId="0" borderId="1" xfId="91" applyNumberFormat="1" applyFont="1" applyFill="1" applyBorder="1" applyAlignment="1" applyProtection="1">
      <alignment horizontal="center" vertical="center"/>
    </xf>
    <xf numFmtId="205" fontId="61" fillId="0" borderId="1" xfId="108" applyNumberFormat="1" applyFont="1" applyFill="1" applyBorder="1" applyAlignment="1" applyProtection="1">
      <alignment horizontal="center" vertical="center"/>
    </xf>
    <xf numFmtId="210" fontId="61" fillId="0" borderId="1" xfId="108" applyNumberFormat="1" applyFont="1" applyFill="1" applyBorder="1" applyAlignment="1" applyProtection="1">
      <alignment horizontal="center" vertical="center"/>
    </xf>
    <xf numFmtId="176" fontId="65" fillId="0" borderId="1" xfId="106" applyNumberFormat="1" applyFont="1" applyFill="1" applyBorder="1" applyAlignment="1" applyProtection="1">
      <alignment horizontal="center" vertical="center"/>
    </xf>
    <xf numFmtId="205" fontId="65" fillId="0" borderId="1" xfId="106" applyNumberFormat="1" applyFont="1" applyFill="1" applyBorder="1" applyAlignment="1" applyProtection="1">
      <alignment horizontal="center" vertical="center"/>
    </xf>
    <xf numFmtId="0" fontId="65" fillId="0" borderId="0" xfId="105" applyFont="1" applyAlignment="1">
      <alignment vertical="center"/>
    </xf>
    <xf numFmtId="0" fontId="61" fillId="0" borderId="0" xfId="105" applyFont="1" applyAlignment="1">
      <alignment horizontal="left" vertical="center" wrapText="1"/>
    </xf>
    <xf numFmtId="0" fontId="61" fillId="0" borderId="0" xfId="105" applyFont="1" applyAlignment="1">
      <alignment vertical="center" wrapText="1"/>
    </xf>
    <xf numFmtId="0" fontId="61" fillId="0" borderId="0" xfId="105" applyFont="1" applyAlignment="1">
      <alignment horizontal="center" vertical="center" wrapText="1"/>
    </xf>
    <xf numFmtId="0" fontId="65" fillId="0" borderId="1" xfId="105" applyFont="1" applyBorder="1" applyAlignment="1">
      <alignment vertical="center"/>
    </xf>
    <xf numFmtId="0" fontId="65" fillId="0" borderId="1" xfId="93" applyFont="1" applyFill="1" applyBorder="1" applyAlignment="1" applyProtection="1">
      <alignment horizontal="left" vertical="center" indent="1"/>
    </xf>
    <xf numFmtId="0" fontId="65" fillId="0" borderId="0" xfId="105" applyFont="1" applyAlignment="1">
      <alignment horizontal="center" vertical="center"/>
    </xf>
    <xf numFmtId="176" fontId="61" fillId="0" borderId="0" xfId="106" applyNumberFormat="1" applyFont="1" applyFill="1" applyBorder="1" applyAlignment="1" applyProtection="1">
      <alignment horizontal="center"/>
    </xf>
    <xf numFmtId="176" fontId="61" fillId="0" borderId="0" xfId="106" applyNumberFormat="1" applyFont="1" applyFill="1" applyBorder="1" applyAlignment="1" applyProtection="1">
      <alignment horizontal="center" vertical="center"/>
    </xf>
    <xf numFmtId="0" fontId="61" fillId="0" borderId="1" xfId="105" applyFont="1" applyBorder="1" applyAlignment="1">
      <alignment horizontal="center" vertical="center"/>
    </xf>
    <xf numFmtId="176" fontId="65" fillId="23" borderId="1" xfId="106" applyNumberFormat="1" applyFont="1" applyFill="1" applyBorder="1" applyAlignment="1" applyProtection="1">
      <alignment horizontal="center" vertical="center"/>
    </xf>
    <xf numFmtId="205" fontId="65" fillId="23" borderId="1" xfId="106" applyNumberFormat="1" applyFont="1" applyFill="1" applyBorder="1" applyAlignment="1" applyProtection="1">
      <alignment horizontal="center" vertical="center"/>
    </xf>
    <xf numFmtId="43" fontId="132" fillId="32" borderId="71" xfId="103" applyNumberFormat="1" applyFont="1" applyFill="1" applyBorder="1" applyAlignment="1" applyProtection="1">
      <alignment vertical="center"/>
    </xf>
    <xf numFmtId="43" fontId="132" fillId="32" borderId="72" xfId="103" applyNumberFormat="1" applyFont="1" applyFill="1" applyBorder="1" applyAlignment="1" applyProtection="1">
      <alignment vertical="center"/>
    </xf>
    <xf numFmtId="177" fontId="7" fillId="29" borderId="1" xfId="2" applyNumberFormat="1" applyFont="1" applyFill="1" applyBorder="1" applyAlignment="1" applyProtection="1">
      <alignment vertical="center"/>
      <protection locked="0"/>
    </xf>
    <xf numFmtId="195" fontId="59" fillId="3" borderId="1" xfId="30" applyNumberFormat="1" applyFont="1" applyFill="1" applyBorder="1" applyProtection="1"/>
    <xf numFmtId="0" fontId="59" fillId="0" borderId="0" xfId="100" applyFont="1" applyAlignment="1">
      <alignment horizontal="center" wrapText="1"/>
    </xf>
    <xf numFmtId="2" fontId="59" fillId="3" borderId="1" xfId="2" applyNumberFormat="1" applyFont="1" applyFill="1" applyBorder="1" applyAlignment="1" applyProtection="1">
      <alignment horizontal="center" vertical="center"/>
    </xf>
    <xf numFmtId="165" fontId="2" fillId="29" borderId="1" xfId="2" applyFont="1" applyFill="1" applyBorder="1" applyProtection="1">
      <protection locked="0"/>
    </xf>
    <xf numFmtId="44" fontId="9" fillId="0" borderId="0" xfId="0" applyNumberFormat="1" applyFont="1"/>
    <xf numFmtId="3" fontId="0" fillId="10" borderId="0" xfId="0" applyNumberFormat="1" applyFill="1"/>
    <xf numFmtId="165" fontId="58" fillId="0" borderId="0" xfId="2" applyFont="1"/>
    <xf numFmtId="17" fontId="61" fillId="0" borderId="0" xfId="0" applyNumberFormat="1" applyFont="1"/>
    <xf numFmtId="165" fontId="69" fillId="23" borderId="44" xfId="2" applyFont="1" applyFill="1" applyBorder="1" applyAlignment="1">
      <alignment horizontal="right" vertical="center"/>
    </xf>
    <xf numFmtId="44" fontId="9" fillId="10" borderId="0" xfId="0" applyNumberFormat="1" applyFont="1" applyFill="1"/>
    <xf numFmtId="10" fontId="61" fillId="0" borderId="1" xfId="106" applyNumberFormat="1" applyFont="1" applyFill="1" applyBorder="1" applyAlignment="1" applyProtection="1">
      <alignment horizontal="center" vertical="center"/>
    </xf>
    <xf numFmtId="208" fontId="61" fillId="0" borderId="1" xfId="106" applyNumberFormat="1" applyFont="1" applyFill="1" applyBorder="1" applyAlignment="1" applyProtection="1">
      <alignment horizontal="center" vertical="center"/>
    </xf>
    <xf numFmtId="10" fontId="61" fillId="0" borderId="1" xfId="105" applyNumberFormat="1" applyFont="1" applyBorder="1"/>
    <xf numFmtId="200" fontId="61" fillId="0" borderId="1" xfId="105" applyNumberFormat="1" applyFont="1" applyBorder="1" applyAlignment="1">
      <alignment horizontal="center" vertical="center"/>
    </xf>
    <xf numFmtId="10" fontId="61" fillId="0" borderId="1" xfId="105" applyNumberFormat="1" applyFont="1" applyBorder="1" applyAlignment="1">
      <alignment horizontal="center" vertical="center"/>
    </xf>
    <xf numFmtId="0" fontId="99" fillId="27" borderId="0" xfId="0" applyFont="1" applyFill="1"/>
    <xf numFmtId="196" fontId="122" fillId="27" borderId="0" xfId="94" applyNumberFormat="1" applyFont="1" applyFill="1" applyAlignment="1">
      <alignment horizontal="center"/>
    </xf>
    <xf numFmtId="0" fontId="122" fillId="27" borderId="0" xfId="94" applyFont="1" applyFill="1" applyAlignment="1">
      <alignment horizontal="center"/>
    </xf>
    <xf numFmtId="211" fontId="91" fillId="0" borderId="0" xfId="83" applyNumberFormat="1" applyFont="1" applyAlignment="1">
      <alignment horizontal="center" vertical="center"/>
    </xf>
    <xf numFmtId="3" fontId="60" fillId="0" borderId="0" xfId="83" applyNumberFormat="1" applyFont="1" applyAlignment="1">
      <alignment horizontal="center" vertical="center"/>
    </xf>
    <xf numFmtId="3" fontId="60" fillId="0" borderId="0" xfId="2" applyNumberFormat="1" applyFont="1" applyAlignment="1">
      <alignment horizontal="center" vertical="center"/>
    </xf>
    <xf numFmtId="196" fontId="122" fillId="10" borderId="15" xfId="94" applyNumberFormat="1" applyFont="1" applyFill="1" applyBorder="1" applyAlignment="1">
      <alignment horizontal="center"/>
    </xf>
    <xf numFmtId="196" fontId="122" fillId="10" borderId="41" xfId="94" applyNumberFormat="1" applyFont="1" applyFill="1" applyBorder="1" applyAlignment="1">
      <alignment horizontal="center"/>
    </xf>
    <xf numFmtId="43" fontId="7" fillId="29" borderId="1" xfId="56" applyFont="1" applyFill="1" applyBorder="1" applyAlignment="1" applyProtection="1">
      <alignment vertical="center"/>
      <protection locked="0"/>
    </xf>
    <xf numFmtId="165" fontId="0" fillId="10" borderId="0" xfId="2" applyFont="1" applyFill="1"/>
    <xf numFmtId="165" fontId="3" fillId="0" borderId="0" xfId="2" applyFont="1" applyAlignment="1">
      <alignment horizontal="left" vertical="center" wrapText="1"/>
    </xf>
    <xf numFmtId="166" fontId="7" fillId="10" borderId="1" xfId="56" applyNumberFormat="1" applyFont="1" applyFill="1" applyBorder="1" applyAlignment="1" applyProtection="1">
      <alignment horizontal="center" vertical="center"/>
    </xf>
    <xf numFmtId="2" fontId="58" fillId="0" borderId="0" xfId="0" applyNumberFormat="1" applyFont="1"/>
    <xf numFmtId="8" fontId="101" fillId="0" borderId="0" xfId="100" applyNumberFormat="1" applyFont="1"/>
    <xf numFmtId="166" fontId="101" fillId="0" borderId="0" xfId="30" applyNumberFormat="1" applyFont="1" applyProtection="1"/>
    <xf numFmtId="10" fontId="101" fillId="0" borderId="0" xfId="100" applyNumberFormat="1" applyFont="1"/>
    <xf numFmtId="0" fontId="101" fillId="15" borderId="0" xfId="100" applyFont="1" applyFill="1" applyAlignment="1">
      <alignment horizontal="center"/>
    </xf>
    <xf numFmtId="165" fontId="9" fillId="10" borderId="0" xfId="2" applyFont="1" applyFill="1"/>
    <xf numFmtId="0" fontId="122" fillId="10" borderId="43" xfId="94" applyFont="1" applyFill="1" applyBorder="1" applyAlignment="1">
      <alignment horizontal="center"/>
    </xf>
    <xf numFmtId="188" fontId="122" fillId="10" borderId="15" xfId="97" applyNumberFormat="1" applyFont="1" applyFill="1" applyBorder="1" applyAlignment="1" applyProtection="1">
      <alignment horizontal="center"/>
    </xf>
    <xf numFmtId="188" fontId="122" fillId="10" borderId="42" xfId="97" applyNumberFormat="1" applyFont="1" applyFill="1" applyBorder="1" applyAlignment="1" applyProtection="1">
      <alignment horizontal="center"/>
    </xf>
    <xf numFmtId="0" fontId="123" fillId="23" borderId="15" xfId="94" applyFont="1" applyFill="1" applyBorder="1" applyAlignment="1">
      <alignment horizontal="center"/>
    </xf>
    <xf numFmtId="0" fontId="123" fillId="23" borderId="41" xfId="94" applyFont="1" applyFill="1" applyBorder="1" applyAlignment="1">
      <alignment horizontal="center"/>
    </xf>
    <xf numFmtId="0" fontId="123" fillId="23" borderId="42" xfId="94" applyFont="1" applyFill="1" applyBorder="1" applyAlignment="1">
      <alignment horizontal="center"/>
    </xf>
    <xf numFmtId="197" fontId="124" fillId="10" borderId="16" xfId="94" applyNumberFormat="1" applyFont="1" applyFill="1" applyBorder="1" applyAlignment="1">
      <alignment horizontal="center" vertical="center" textRotation="90"/>
    </xf>
    <xf numFmtId="197" fontId="124" fillId="10" borderId="17" xfId="94" applyNumberFormat="1" applyFont="1" applyFill="1" applyBorder="1" applyAlignment="1">
      <alignment horizontal="center" vertical="center" textRotation="90"/>
    </xf>
    <xf numFmtId="197" fontId="124" fillId="10" borderId="11" xfId="94" applyNumberFormat="1" applyFont="1" applyFill="1" applyBorder="1" applyAlignment="1">
      <alignment horizontal="center" vertical="center" textRotation="90"/>
    </xf>
    <xf numFmtId="0" fontId="122" fillId="10" borderId="16" xfId="94" applyFont="1" applyFill="1" applyBorder="1" applyAlignment="1">
      <alignment horizontal="center" vertical="center"/>
    </xf>
    <xf numFmtId="0" fontId="122" fillId="10" borderId="11" xfId="94" applyFont="1" applyFill="1" applyBorder="1" applyAlignment="1">
      <alignment horizontal="center" vertical="center"/>
    </xf>
    <xf numFmtId="196" fontId="122" fillId="10" borderId="15" xfId="94" applyNumberFormat="1" applyFont="1" applyFill="1" applyBorder="1" applyAlignment="1">
      <alignment horizontal="center"/>
    </xf>
    <xf numFmtId="196" fontId="122" fillId="10" borderId="41" xfId="94" applyNumberFormat="1" applyFont="1" applyFill="1" applyBorder="1" applyAlignment="1">
      <alignment horizontal="center"/>
    </xf>
    <xf numFmtId="196" fontId="122" fillId="10" borderId="42" xfId="94" applyNumberFormat="1" applyFont="1" applyFill="1" applyBorder="1" applyAlignment="1">
      <alignment horizontal="center"/>
    </xf>
    <xf numFmtId="0" fontId="122" fillId="10" borderId="15" xfId="94" applyFont="1" applyFill="1" applyBorder="1" applyAlignment="1">
      <alignment horizontal="center"/>
    </xf>
    <xf numFmtId="0" fontId="122" fillId="10" borderId="41" xfId="94" applyFont="1" applyFill="1" applyBorder="1" applyAlignment="1">
      <alignment horizontal="center"/>
    </xf>
    <xf numFmtId="0" fontId="122" fillId="10" borderId="42" xfId="94" applyFont="1" applyFill="1" applyBorder="1" applyAlignment="1">
      <alignment horizontal="center"/>
    </xf>
    <xf numFmtId="188" fontId="122" fillId="10" borderId="2" xfId="97" applyNumberFormat="1" applyFont="1" applyFill="1" applyBorder="1" applyAlignment="1" applyProtection="1">
      <alignment horizontal="center"/>
    </xf>
    <xf numFmtId="188" fontId="122" fillId="10" borderId="13" xfId="97" applyNumberFormat="1" applyFont="1" applyFill="1" applyBorder="1" applyAlignment="1" applyProtection="1">
      <alignment horizontal="center"/>
    </xf>
    <xf numFmtId="0" fontId="122" fillId="23" borderId="15" xfId="94" applyFont="1" applyFill="1" applyBorder="1" applyAlignment="1">
      <alignment horizontal="center"/>
    </xf>
    <xf numFmtId="0" fontId="122" fillId="23" borderId="42" xfId="94" applyFont="1" applyFill="1" applyBorder="1" applyAlignment="1">
      <alignment horizontal="center"/>
    </xf>
    <xf numFmtId="0" fontId="122" fillId="23" borderId="41" xfId="94" applyFont="1" applyFill="1" applyBorder="1" applyAlignment="1">
      <alignment horizontal="center"/>
    </xf>
    <xf numFmtId="10" fontId="92" fillId="27" borderId="28" xfId="94" applyNumberFormat="1" applyFont="1" applyFill="1" applyBorder="1" applyAlignment="1">
      <alignment horizontal="right" vertical="center"/>
    </xf>
    <xf numFmtId="0" fontId="60" fillId="10" borderId="0" xfId="99" applyFont="1" applyFill="1" applyAlignment="1">
      <alignment horizontal="left" vertical="top" wrapText="1"/>
    </xf>
    <xf numFmtId="0" fontId="124" fillId="10" borderId="1" xfId="94" applyFont="1" applyFill="1" applyBorder="1" applyAlignment="1">
      <alignment horizontal="center"/>
    </xf>
    <xf numFmtId="0" fontId="141" fillId="23" borderId="10" xfId="0" applyFont="1" applyFill="1" applyBorder="1" applyAlignment="1">
      <alignment horizontal="left" vertical="center"/>
    </xf>
    <xf numFmtId="0" fontId="143" fillId="23" borderId="0" xfId="0" applyFont="1" applyFill="1" applyAlignment="1">
      <alignment horizontal="left" vertical="center"/>
    </xf>
    <xf numFmtId="0" fontId="141" fillId="23" borderId="32" xfId="0" applyFont="1" applyFill="1" applyBorder="1" applyAlignment="1">
      <alignment horizontal="left" vertical="center"/>
    </xf>
    <xf numFmtId="0" fontId="143" fillId="23" borderId="43" xfId="0" applyFont="1" applyFill="1" applyBorder="1" applyAlignment="1">
      <alignment horizontal="left" vertical="center"/>
    </xf>
    <xf numFmtId="0" fontId="143" fillId="23" borderId="32" xfId="0" applyFont="1" applyFill="1" applyBorder="1" applyAlignment="1">
      <alignment horizontal="left" vertical="center"/>
    </xf>
    <xf numFmtId="0" fontId="68" fillId="23" borderId="10" xfId="0" applyFont="1" applyFill="1" applyBorder="1" applyAlignment="1">
      <alignment horizontal="left" vertical="center"/>
    </xf>
    <xf numFmtId="0" fontId="68" fillId="23" borderId="0" xfId="0" applyFont="1" applyFill="1" applyAlignment="1">
      <alignment horizontal="left" vertical="center"/>
    </xf>
    <xf numFmtId="0" fontId="60" fillId="23" borderId="10" xfId="0" applyFont="1" applyFill="1" applyBorder="1" applyAlignment="1">
      <alignment horizontal="left"/>
    </xf>
    <xf numFmtId="0" fontId="60" fillId="23" borderId="0" xfId="0" applyFont="1" applyFill="1" applyAlignment="1">
      <alignment horizontal="left"/>
    </xf>
    <xf numFmtId="0" fontId="0" fillId="10" borderId="0" xfId="0" applyFill="1" applyAlignment="1">
      <alignment horizontal="center"/>
    </xf>
    <xf numFmtId="0" fontId="92" fillId="24" borderId="15" xfId="0" applyFont="1" applyFill="1" applyBorder="1" applyAlignment="1">
      <alignment horizontal="left"/>
    </xf>
    <xf numFmtId="0" fontId="92" fillId="24" borderId="41" xfId="0" applyFont="1" applyFill="1" applyBorder="1" applyAlignment="1">
      <alignment horizontal="left"/>
    </xf>
    <xf numFmtId="0" fontId="92" fillId="24" borderId="42" xfId="0" applyFont="1" applyFill="1" applyBorder="1" applyAlignment="1">
      <alignment horizontal="left"/>
    </xf>
    <xf numFmtId="0" fontId="60" fillId="24" borderId="10" xfId="0" applyFont="1" applyFill="1" applyBorder="1" applyAlignment="1">
      <alignment horizontal="left"/>
    </xf>
    <xf numFmtId="0" fontId="60" fillId="24" borderId="0" xfId="0" applyFont="1" applyFill="1" applyAlignment="1">
      <alignment horizontal="left"/>
    </xf>
    <xf numFmtId="0" fontId="60" fillId="24" borderId="15" xfId="0" applyFont="1" applyFill="1" applyBorder="1" applyAlignment="1">
      <alignment horizontal="left"/>
    </xf>
    <xf numFmtId="0" fontId="60" fillId="24" borderId="41" xfId="0" applyFont="1" applyFill="1" applyBorder="1" applyAlignment="1">
      <alignment horizontal="left"/>
    </xf>
    <xf numFmtId="0" fontId="92" fillId="24" borderId="2" xfId="0" applyFont="1" applyFill="1" applyBorder="1" applyAlignment="1">
      <alignment horizontal="center"/>
    </xf>
    <xf numFmtId="0" fontId="92" fillId="24" borderId="14" xfId="0" applyFont="1" applyFill="1" applyBorder="1" applyAlignment="1">
      <alignment horizontal="center"/>
    </xf>
    <xf numFmtId="0" fontId="92" fillId="24" borderId="13" xfId="0" applyFont="1" applyFill="1" applyBorder="1" applyAlignment="1">
      <alignment horizontal="center"/>
    </xf>
    <xf numFmtId="0" fontId="60" fillId="24" borderId="32" xfId="0" applyFont="1" applyFill="1" applyBorder="1" applyAlignment="1">
      <alignment horizontal="left"/>
    </xf>
    <xf numFmtId="0" fontId="60" fillId="24" borderId="43" xfId="0" applyFont="1" applyFill="1" applyBorder="1" applyAlignment="1">
      <alignment horizontal="left"/>
    </xf>
    <xf numFmtId="0" fontId="120" fillId="0" borderId="0" xfId="0" applyFont="1" applyAlignment="1">
      <alignment horizontal="center" wrapText="1"/>
    </xf>
    <xf numFmtId="0" fontId="120" fillId="0" borderId="0" xfId="0" applyFont="1" applyAlignment="1">
      <alignment horizontal="center"/>
    </xf>
    <xf numFmtId="0" fontId="92" fillId="10" borderId="2" xfId="0" applyFont="1" applyFill="1" applyBorder="1" applyAlignment="1">
      <alignment horizontal="center"/>
    </xf>
    <xf numFmtId="0" fontId="92" fillId="10" borderId="14" xfId="0" applyFont="1" applyFill="1" applyBorder="1" applyAlignment="1">
      <alignment horizontal="center"/>
    </xf>
    <xf numFmtId="0" fontId="92" fillId="10" borderId="13" xfId="0" applyFont="1" applyFill="1" applyBorder="1" applyAlignment="1">
      <alignment horizontal="center"/>
    </xf>
    <xf numFmtId="0" fontId="92" fillId="23" borderId="2" xfId="0" applyFont="1" applyFill="1" applyBorder="1" applyAlignment="1">
      <alignment horizontal="center"/>
    </xf>
    <xf numFmtId="0" fontId="92" fillId="23" borderId="14" xfId="0" applyFont="1" applyFill="1" applyBorder="1" applyAlignment="1">
      <alignment horizontal="center"/>
    </xf>
    <xf numFmtId="0" fontId="92" fillId="23" borderId="13" xfId="0" applyFont="1" applyFill="1" applyBorder="1" applyAlignment="1">
      <alignment horizontal="center"/>
    </xf>
    <xf numFmtId="0" fontId="3" fillId="0" borderId="0" xfId="100" applyAlignment="1">
      <alignment horizontal="left" vertical="center"/>
    </xf>
    <xf numFmtId="0" fontId="1" fillId="0" borderId="0" xfId="100" applyFont="1" applyAlignment="1">
      <alignment horizontal="left" vertical="center"/>
    </xf>
    <xf numFmtId="0" fontId="3" fillId="0" borderId="0" xfId="100" applyAlignment="1">
      <alignment horizontal="center" vertical="center" textRotation="90" wrapText="1"/>
    </xf>
    <xf numFmtId="164" fontId="60" fillId="0" borderId="1" xfId="86" applyNumberFormat="1" applyFont="1" applyFill="1" applyBorder="1" applyAlignment="1" applyProtection="1">
      <alignment horizontal="center"/>
    </xf>
    <xf numFmtId="188" fontId="138" fillId="34" borderId="0" xfId="86" applyNumberFormat="1" applyFont="1" applyFill="1" applyAlignment="1" applyProtection="1">
      <alignment horizontal="center" vertical="center"/>
    </xf>
    <xf numFmtId="37" fontId="60" fillId="15" borderId="2" xfId="86" applyNumberFormat="1" applyFont="1" applyFill="1" applyBorder="1" applyAlignment="1" applyProtection="1">
      <alignment horizontal="center" vertical="center"/>
    </xf>
    <xf numFmtId="37" fontId="60" fillId="15" borderId="13" xfId="86" applyNumberFormat="1" applyFont="1" applyFill="1" applyBorder="1" applyAlignment="1" applyProtection="1">
      <alignment horizontal="center" vertical="center"/>
    </xf>
    <xf numFmtId="195" fontId="60" fillId="15" borderId="2" xfId="86" applyNumberFormat="1" applyFont="1" applyFill="1" applyBorder="1" applyAlignment="1" applyProtection="1">
      <alignment horizontal="center" vertical="center"/>
    </xf>
    <xf numFmtId="195" fontId="60" fillId="15" borderId="13" xfId="86" applyNumberFormat="1" applyFont="1" applyFill="1" applyBorder="1" applyAlignment="1" applyProtection="1">
      <alignment horizontal="center" vertical="center"/>
    </xf>
    <xf numFmtId="164" fontId="92" fillId="15" borderId="1" xfId="86" applyNumberFormat="1" applyFont="1" applyFill="1" applyBorder="1" applyAlignment="1" applyProtection="1">
      <alignment horizontal="center" vertical="center" wrapText="1"/>
    </xf>
    <xf numFmtId="0" fontId="60" fillId="0" borderId="1" xfId="105" applyFont="1" applyBorder="1" applyAlignment="1">
      <alignment horizontal="left" vertical="center" wrapText="1"/>
    </xf>
    <xf numFmtId="0" fontId="61" fillId="0" borderId="1" xfId="105" applyFont="1" applyBorder="1" applyAlignment="1">
      <alignment horizontal="left" vertical="center" wrapText="1"/>
    </xf>
    <xf numFmtId="0" fontId="65" fillId="0" borderId="2" xfId="105" applyFont="1" applyBorder="1" applyAlignment="1">
      <alignment horizontal="center"/>
    </xf>
    <xf numFmtId="0" fontId="65" fillId="0" borderId="14" xfId="105" applyFont="1" applyBorder="1" applyAlignment="1">
      <alignment horizontal="center"/>
    </xf>
    <xf numFmtId="0" fontId="65" fillId="0" borderId="13" xfId="105" applyFont="1" applyBorder="1" applyAlignment="1">
      <alignment horizontal="center"/>
    </xf>
    <xf numFmtId="0" fontId="60" fillId="0" borderId="1" xfId="89" applyFont="1" applyBorder="1" applyAlignment="1">
      <alignment horizontal="left" vertical="center" wrapText="1"/>
    </xf>
    <xf numFmtId="0" fontId="65" fillId="0" borderId="1" xfId="94" applyFont="1" applyBorder="1" applyAlignment="1">
      <alignment horizontal="center" vertical="center" wrapText="1"/>
    </xf>
    <xf numFmtId="0" fontId="60" fillId="0" borderId="1" xfId="93" applyFont="1" applyFill="1" applyBorder="1" applyAlignment="1" applyProtection="1">
      <alignment horizontal="left" vertical="center" wrapText="1"/>
    </xf>
    <xf numFmtId="208" fontId="60" fillId="0" borderId="1" xfId="108" applyNumberFormat="1" applyFont="1" applyFill="1" applyBorder="1" applyAlignment="1" applyProtection="1">
      <alignment horizontal="left" vertical="center" wrapText="1"/>
    </xf>
    <xf numFmtId="0" fontId="65" fillId="0" borderId="1" xfId="105" applyFont="1" applyBorder="1" applyAlignment="1">
      <alignment horizontal="center"/>
    </xf>
    <xf numFmtId="0" fontId="60" fillId="0" borderId="1" xfId="105" applyFont="1" applyBorder="1" applyAlignment="1">
      <alignment wrapText="1"/>
    </xf>
    <xf numFmtId="0" fontId="61" fillId="0" borderId="1" xfId="105" applyFont="1" applyBorder="1" applyAlignment="1">
      <alignment wrapText="1"/>
    </xf>
    <xf numFmtId="0" fontId="65" fillId="0" borderId="1" xfId="105" applyFont="1" applyBorder="1" applyAlignment="1">
      <alignment horizontal="center" wrapText="1"/>
    </xf>
    <xf numFmtId="0" fontId="146" fillId="0" borderId="1" xfId="109" applyFont="1" applyFill="1" applyBorder="1" applyAlignment="1" applyProtection="1">
      <alignment horizontal="center" vertical="center" wrapText="1"/>
    </xf>
    <xf numFmtId="0" fontId="60" fillId="0" borderId="1" xfId="105" applyFont="1" applyBorder="1" applyAlignment="1">
      <alignment horizontal="center" vertical="center" wrapText="1"/>
    </xf>
    <xf numFmtId="0" fontId="65" fillId="0" borderId="0" xfId="0" applyFont="1" applyAlignment="1">
      <alignment horizontal="left"/>
    </xf>
    <xf numFmtId="0" fontId="57" fillId="5" borderId="2" xfId="0" applyFont="1" applyFill="1" applyBorder="1" applyAlignment="1">
      <alignment horizontal="center"/>
    </xf>
    <xf numFmtId="0" fontId="57" fillId="5" borderId="14" xfId="0" applyFont="1" applyFill="1" applyBorder="1" applyAlignment="1">
      <alignment horizontal="center"/>
    </xf>
    <xf numFmtId="0" fontId="57" fillId="5" borderId="13" xfId="0" applyFont="1" applyFill="1" applyBorder="1" applyAlignment="1">
      <alignment horizontal="center"/>
    </xf>
    <xf numFmtId="0" fontId="57" fillId="5" borderId="1" xfId="0" applyFont="1" applyFill="1" applyBorder="1" applyAlignment="1">
      <alignment horizontal="center"/>
    </xf>
    <xf numFmtId="0" fontId="57" fillId="5" borderId="16" xfId="0" applyFont="1" applyFill="1" applyBorder="1" applyAlignment="1">
      <alignment horizontal="center" vertical="center" textRotation="90"/>
    </xf>
    <xf numFmtId="0" fontId="57" fillId="5" borderId="17" xfId="0" applyFont="1" applyFill="1" applyBorder="1" applyAlignment="1">
      <alignment horizontal="center" vertical="center" textRotation="90"/>
    </xf>
    <xf numFmtId="0" fontId="57" fillId="5" borderId="11" xfId="0" applyFont="1" applyFill="1" applyBorder="1" applyAlignment="1">
      <alignment horizontal="center" vertical="center" textRotation="90"/>
    </xf>
    <xf numFmtId="0" fontId="67" fillId="21" borderId="1" xfId="0" applyFont="1" applyFill="1" applyBorder="1" applyAlignment="1">
      <alignment horizontal="right"/>
    </xf>
    <xf numFmtId="0" fontId="67" fillId="21" borderId="1" xfId="0" applyFont="1" applyFill="1" applyBorder="1" applyAlignment="1">
      <alignment horizontal="right" wrapText="1"/>
    </xf>
    <xf numFmtId="166" fontId="55" fillId="2" borderId="16" xfId="16" applyNumberFormat="1" applyFill="1" applyBorder="1" applyAlignment="1">
      <alignment horizontal="center" vertical="center"/>
    </xf>
    <xf numFmtId="166" fontId="55" fillId="2" borderId="11" xfId="16" applyNumberFormat="1" applyFill="1" applyBorder="1" applyAlignment="1">
      <alignment horizontal="center" vertical="center"/>
    </xf>
    <xf numFmtId="0" fontId="67" fillId="0" borderId="0" xfId="0" applyFont="1" applyAlignment="1">
      <alignment horizontal="left" wrapText="1"/>
    </xf>
    <xf numFmtId="0" fontId="57" fillId="9" borderId="1" xfId="0" applyFont="1" applyFill="1" applyBorder="1" applyAlignment="1">
      <alignment horizontal="center"/>
    </xf>
    <xf numFmtId="0" fontId="57" fillId="5" borderId="1" xfId="0" applyFont="1" applyFill="1" applyBorder="1" applyAlignment="1">
      <alignment horizontal="center" vertical="center" wrapText="1"/>
    </xf>
    <xf numFmtId="0" fontId="67" fillId="0" borderId="0" xfId="0" applyFont="1" applyAlignment="1">
      <alignment horizontal="left"/>
    </xf>
    <xf numFmtId="0" fontId="63" fillId="9"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4" fontId="62" fillId="2" borderId="2" xfId="18" applyNumberFormat="1" applyFont="1" applyFill="1" applyBorder="1" applyAlignment="1">
      <alignment horizontal="center" vertical="center" wrapText="1"/>
    </xf>
    <xf numFmtId="4" fontId="62" fillId="2" borderId="13" xfId="18" applyNumberFormat="1" applyFont="1" applyFill="1" applyBorder="1" applyAlignment="1">
      <alignment horizontal="center" vertical="center" wrapText="1"/>
    </xf>
    <xf numFmtId="0" fontId="60" fillId="2" borderId="2" xfId="0" applyFont="1" applyFill="1" applyBorder="1" applyAlignment="1">
      <alignment horizontal="center"/>
    </xf>
    <xf numFmtId="0" fontId="60" fillId="2" borderId="13" xfId="0" applyFont="1" applyFill="1" applyBorder="1" applyAlignment="1">
      <alignment horizontal="center"/>
    </xf>
    <xf numFmtId="0" fontId="63" fillId="9" borderId="2" xfId="0" applyFont="1" applyFill="1" applyBorder="1" applyAlignment="1">
      <alignment horizontal="center" vertical="center" wrapText="1"/>
    </xf>
    <xf numFmtId="0" fontId="63" fillId="9" borderId="14" xfId="0" applyFont="1" applyFill="1" applyBorder="1" applyAlignment="1">
      <alignment horizontal="center" vertical="center" wrapText="1"/>
    </xf>
    <xf numFmtId="0" fontId="63" fillId="9" borderId="13" xfId="0" applyFont="1" applyFill="1" applyBorder="1" applyAlignment="1">
      <alignment horizontal="center" vertical="center" wrapText="1"/>
    </xf>
    <xf numFmtId="0" fontId="62" fillId="21" borderId="2" xfId="0" applyFont="1" applyFill="1" applyBorder="1" applyAlignment="1">
      <alignment horizontal="left" vertical="center" wrapText="1"/>
    </xf>
    <xf numFmtId="0" fontId="62" fillId="21" borderId="13" xfId="0" applyFont="1" applyFill="1" applyBorder="1" applyAlignment="1">
      <alignment horizontal="left" vertical="center" wrapText="1"/>
    </xf>
    <xf numFmtId="0" fontId="63" fillId="5" borderId="2" xfId="0" applyFont="1" applyFill="1" applyBorder="1" applyAlignment="1">
      <alignment horizontal="center" vertical="center" wrapText="1"/>
    </xf>
    <xf numFmtId="0" fontId="63" fillId="5" borderId="13" xfId="0" applyFont="1" applyFill="1" applyBorder="1" applyAlignment="1">
      <alignment horizontal="center" vertical="center" wrapText="1"/>
    </xf>
    <xf numFmtId="0" fontId="63" fillId="5" borderId="14" xfId="0" applyFont="1" applyFill="1" applyBorder="1" applyAlignment="1">
      <alignment horizontal="center" vertical="center" wrapText="1"/>
    </xf>
    <xf numFmtId="0" fontId="62" fillId="21" borderId="1" xfId="0" applyFont="1" applyFill="1" applyBorder="1" applyAlignment="1">
      <alignment horizontal="right"/>
    </xf>
    <xf numFmtId="0" fontId="62" fillId="21" borderId="1" xfId="0" applyFont="1" applyFill="1" applyBorder="1" applyAlignment="1">
      <alignment horizontal="right" wrapText="1"/>
    </xf>
    <xf numFmtId="0" fontId="62" fillId="21" borderId="1" xfId="0" applyFont="1" applyFill="1" applyBorder="1" applyAlignment="1">
      <alignment horizontal="center"/>
    </xf>
    <xf numFmtId="0" fontId="85" fillId="15" borderId="2" xfId="16" applyFont="1" applyFill="1" applyBorder="1" applyAlignment="1">
      <alignment horizontal="left"/>
    </xf>
    <xf numFmtId="0" fontId="85" fillId="15" borderId="14" xfId="16" applyFont="1" applyFill="1" applyBorder="1" applyAlignment="1">
      <alignment horizontal="left"/>
    </xf>
    <xf numFmtId="0" fontId="57" fillId="5" borderId="1" xfId="16" applyFont="1" applyFill="1" applyBorder="1" applyAlignment="1">
      <alignment horizontal="center" vertical="center"/>
    </xf>
    <xf numFmtId="39" fontId="59" fillId="17" borderId="1" xfId="56" applyNumberFormat="1" applyFont="1" applyFill="1" applyBorder="1" applyAlignment="1" applyProtection="1">
      <alignment horizontal="center" vertical="center"/>
    </xf>
    <xf numFmtId="0" fontId="66" fillId="21" borderId="15" xfId="16" applyFont="1" applyFill="1" applyBorder="1" applyAlignment="1">
      <alignment horizontal="center" vertical="center"/>
    </xf>
    <xf numFmtId="0" fontId="66" fillId="21" borderId="41" xfId="16" applyFont="1" applyFill="1" applyBorder="1" applyAlignment="1">
      <alignment horizontal="center" vertical="center"/>
    </xf>
    <xf numFmtId="0" fontId="66" fillId="21" borderId="42" xfId="16" applyFont="1" applyFill="1" applyBorder="1" applyAlignment="1">
      <alignment horizontal="center" vertical="center"/>
    </xf>
    <xf numFmtId="0" fontId="66" fillId="21" borderId="10" xfId="16" applyFont="1" applyFill="1" applyBorder="1" applyAlignment="1">
      <alignment horizontal="center" vertical="center"/>
    </xf>
    <xf numFmtId="0" fontId="66" fillId="21" borderId="0" xfId="16" applyFont="1" applyFill="1" applyAlignment="1">
      <alignment horizontal="center" vertical="center"/>
    </xf>
    <xf numFmtId="0" fontId="66" fillId="21" borderId="28" xfId="16" applyFont="1" applyFill="1" applyBorder="1" applyAlignment="1">
      <alignment horizontal="center" vertical="center"/>
    </xf>
    <xf numFmtId="0" fontId="66" fillId="21" borderId="32" xfId="16" applyFont="1" applyFill="1" applyBorder="1" applyAlignment="1">
      <alignment horizontal="center" vertical="center"/>
    </xf>
    <xf numFmtId="0" fontId="66" fillId="21" borderId="43" xfId="16" applyFont="1" applyFill="1" applyBorder="1" applyAlignment="1">
      <alignment horizontal="center" vertical="center"/>
    </xf>
    <xf numFmtId="0" fontId="66" fillId="21" borderId="44" xfId="16" applyFont="1" applyFill="1" applyBorder="1" applyAlignment="1">
      <alignment horizontal="center" vertical="center"/>
    </xf>
    <xf numFmtId="0" fontId="66" fillId="21" borderId="2" xfId="16" applyFont="1" applyFill="1" applyBorder="1" applyAlignment="1">
      <alignment horizontal="left"/>
    </xf>
    <xf numFmtId="0" fontId="66" fillId="21" borderId="14" xfId="16" applyFont="1" applyFill="1" applyBorder="1" applyAlignment="1">
      <alignment horizontal="left"/>
    </xf>
    <xf numFmtId="0" fontId="57" fillId="5" borderId="15" xfId="16" applyFont="1" applyFill="1" applyBorder="1" applyAlignment="1">
      <alignment horizontal="center" vertical="center"/>
    </xf>
    <xf numFmtId="0" fontId="57" fillId="5" borderId="41" xfId="16" applyFont="1" applyFill="1" applyBorder="1" applyAlignment="1">
      <alignment horizontal="center" vertical="center"/>
    </xf>
    <xf numFmtId="0" fontId="57" fillId="5" borderId="42" xfId="16" applyFont="1" applyFill="1" applyBorder="1" applyAlignment="1">
      <alignment horizontal="center" vertical="center"/>
    </xf>
    <xf numFmtId="0" fontId="57" fillId="5" borderId="32" xfId="16" applyFont="1" applyFill="1" applyBorder="1" applyAlignment="1">
      <alignment horizontal="center" vertical="center"/>
    </xf>
    <xf numFmtId="0" fontId="57" fillId="5" borderId="43" xfId="16" applyFont="1" applyFill="1" applyBorder="1" applyAlignment="1">
      <alignment horizontal="center" vertical="center"/>
    </xf>
    <xf numFmtId="0" fontId="57" fillId="5" borderId="44" xfId="16" applyFont="1" applyFill="1" applyBorder="1" applyAlignment="1">
      <alignment horizontal="center" vertical="center"/>
    </xf>
    <xf numFmtId="0" fontId="57" fillId="5" borderId="2" xfId="16" applyFont="1" applyFill="1" applyBorder="1" applyAlignment="1">
      <alignment horizontal="center" vertical="center"/>
    </xf>
    <xf numFmtId="0" fontId="57" fillId="5" borderId="13" xfId="16" applyFont="1" applyFill="1" applyBorder="1" applyAlignment="1">
      <alignment horizontal="center" vertical="center"/>
    </xf>
    <xf numFmtId="0" fontId="66" fillId="21" borderId="1" xfId="16" applyFont="1" applyFill="1" applyBorder="1" applyAlignment="1">
      <alignment horizontal="left"/>
    </xf>
    <xf numFmtId="0" fontId="66" fillId="21" borderId="1" xfId="16" applyFont="1" applyFill="1" applyBorder="1" applyAlignment="1">
      <alignment horizontal="center" vertical="center"/>
    </xf>
    <xf numFmtId="0" fontId="57" fillId="5" borderId="16" xfId="16" applyFont="1" applyFill="1" applyBorder="1" applyAlignment="1">
      <alignment horizontal="center" vertical="center"/>
    </xf>
    <xf numFmtId="0" fontId="57" fillId="5" borderId="11" xfId="16" applyFont="1" applyFill="1" applyBorder="1" applyAlignment="1">
      <alignment horizontal="center" vertical="center"/>
    </xf>
    <xf numFmtId="0" fontId="57" fillId="9" borderId="15" xfId="16" applyFont="1" applyFill="1" applyBorder="1" applyAlignment="1">
      <alignment horizontal="center" vertical="center"/>
    </xf>
    <xf numFmtId="0" fontId="57" fillId="9" borderId="41" xfId="16" applyFont="1" applyFill="1" applyBorder="1" applyAlignment="1">
      <alignment horizontal="center" vertical="center"/>
    </xf>
    <xf numFmtId="0" fontId="57" fillId="9" borderId="32" xfId="16" applyFont="1" applyFill="1" applyBorder="1" applyAlignment="1">
      <alignment horizontal="center" vertical="center"/>
    </xf>
    <xf numFmtId="0" fontId="57" fillId="9" borderId="43" xfId="16" applyFont="1" applyFill="1" applyBorder="1" applyAlignment="1">
      <alignment horizontal="center" vertical="center"/>
    </xf>
    <xf numFmtId="0" fontId="57" fillId="9" borderId="1" xfId="16" applyFont="1" applyFill="1" applyBorder="1" applyAlignment="1">
      <alignment horizontal="center" vertical="center"/>
    </xf>
    <xf numFmtId="0" fontId="66" fillId="3" borderId="2" xfId="16" applyFont="1" applyFill="1" applyBorder="1" applyAlignment="1">
      <alignment horizontal="left"/>
    </xf>
    <xf numFmtId="0" fontId="66" fillId="3" borderId="14" xfId="16" applyFont="1" applyFill="1" applyBorder="1" applyAlignment="1">
      <alignment horizontal="left"/>
    </xf>
    <xf numFmtId="0" fontId="66" fillId="3" borderId="13" xfId="16" applyFont="1" applyFill="1" applyBorder="1" applyAlignment="1">
      <alignment horizontal="left"/>
    </xf>
    <xf numFmtId="0" fontId="57" fillId="9" borderId="42" xfId="16" applyFont="1" applyFill="1" applyBorder="1" applyAlignment="1">
      <alignment horizontal="center" vertical="center"/>
    </xf>
    <xf numFmtId="0" fontId="57" fillId="9" borderId="44" xfId="16" applyFont="1" applyFill="1" applyBorder="1" applyAlignment="1">
      <alignment horizontal="center" vertical="center"/>
    </xf>
    <xf numFmtId="0" fontId="66" fillId="21" borderId="13" xfId="16" applyFont="1" applyFill="1" applyBorder="1" applyAlignment="1">
      <alignment horizontal="left"/>
    </xf>
    <xf numFmtId="0" fontId="103" fillId="9" borderId="2" xfId="16" applyFont="1" applyFill="1" applyBorder="1" applyAlignment="1">
      <alignment horizontal="left" vertical="center" indent="10"/>
    </xf>
    <xf numFmtId="0" fontId="103" fillId="9" borderId="14" xfId="16" applyFont="1" applyFill="1" applyBorder="1" applyAlignment="1">
      <alignment horizontal="left" vertical="center" indent="10"/>
    </xf>
    <xf numFmtId="0" fontId="103" fillId="9" borderId="13" xfId="16" applyFont="1" applyFill="1" applyBorder="1" applyAlignment="1">
      <alignment horizontal="left" vertical="center" indent="10"/>
    </xf>
    <xf numFmtId="0" fontId="112" fillId="10" borderId="0" xfId="0" applyFont="1" applyFill="1" applyAlignment="1">
      <alignment horizontal="left"/>
    </xf>
    <xf numFmtId="0" fontId="112" fillId="10" borderId="28" xfId="0" applyFont="1" applyFill="1" applyBorder="1" applyAlignment="1">
      <alignment horizontal="left"/>
    </xf>
    <xf numFmtId="0" fontId="112" fillId="10" borderId="0" xfId="0" applyFont="1" applyFill="1" applyAlignment="1">
      <alignment horizontal="left" vertical="center" wrapText="1"/>
    </xf>
    <xf numFmtId="0" fontId="112" fillId="10" borderId="28" xfId="0" applyFont="1" applyFill="1" applyBorder="1" applyAlignment="1">
      <alignment horizontal="left" vertical="center" wrapText="1"/>
    </xf>
    <xf numFmtId="0" fontId="112" fillId="10" borderId="0" xfId="0" applyFont="1" applyFill="1" applyAlignment="1">
      <alignment horizontal="right" vertical="center"/>
    </xf>
    <xf numFmtId="0" fontId="112" fillId="10" borderId="0" xfId="0" applyFont="1" applyFill="1" applyAlignment="1">
      <alignment horizontal="center" vertical="center"/>
    </xf>
    <xf numFmtId="0" fontId="112" fillId="10" borderId="0" xfId="0" applyFont="1" applyFill="1" applyAlignment="1">
      <alignment horizontal="left" vertical="center"/>
    </xf>
    <xf numFmtId="0" fontId="112" fillId="10" borderId="28" xfId="0" applyFont="1" applyFill="1" applyBorder="1" applyAlignment="1">
      <alignment horizontal="left" vertical="center"/>
    </xf>
    <xf numFmtId="0" fontId="12" fillId="0" borderId="0" xfId="0" applyFont="1" applyAlignment="1">
      <alignment horizontal="left"/>
    </xf>
    <xf numFmtId="0" fontId="12" fillId="0" borderId="28" xfId="0" applyFont="1" applyBorder="1" applyAlignment="1">
      <alignment horizontal="left"/>
    </xf>
    <xf numFmtId="4" fontId="73" fillId="9" borderId="14" xfId="0" applyNumberFormat="1" applyFont="1" applyFill="1" applyBorder="1" applyAlignment="1">
      <alignment horizontal="right"/>
    </xf>
    <xf numFmtId="4" fontId="73" fillId="9" borderId="13" xfId="0" applyNumberFormat="1" applyFont="1" applyFill="1" applyBorder="1" applyAlignment="1">
      <alignment horizontal="right"/>
    </xf>
    <xf numFmtId="0" fontId="11" fillId="0" borderId="0" xfId="0" applyFont="1"/>
    <xf numFmtId="0" fontId="64" fillId="10" borderId="0" xfId="0" applyFont="1" applyFill="1" applyAlignment="1">
      <alignment horizontal="left"/>
    </xf>
    <xf numFmtId="0" fontId="64" fillId="10" borderId="28" xfId="0" applyFont="1" applyFill="1" applyBorder="1" applyAlignment="1">
      <alignment horizontal="left"/>
    </xf>
    <xf numFmtId="0" fontId="64" fillId="10" borderId="0" xfId="0" applyFont="1" applyFill="1" applyAlignment="1">
      <alignment horizontal="left" vertical="center" wrapText="1"/>
    </xf>
    <xf numFmtId="0" fontId="64" fillId="10" borderId="28" xfId="0" applyFont="1" applyFill="1" applyBorder="1" applyAlignment="1">
      <alignment horizontal="left" vertical="center" wrapText="1"/>
    </xf>
    <xf numFmtId="0" fontId="104" fillId="10" borderId="0" xfId="0" applyFont="1" applyFill="1" applyAlignment="1">
      <alignment horizontal="center"/>
    </xf>
    <xf numFmtId="0" fontId="64" fillId="10" borderId="0" xfId="0" applyFont="1" applyFill="1" applyAlignment="1">
      <alignment horizontal="right" vertical="center"/>
    </xf>
    <xf numFmtId="0" fontId="64" fillId="10" borderId="0" xfId="0" applyFont="1" applyFill="1" applyAlignment="1">
      <alignment horizontal="left" vertical="center"/>
    </xf>
    <xf numFmtId="0" fontId="64" fillId="10" borderId="0" xfId="0" applyFont="1" applyFill="1" applyAlignment="1">
      <alignment horizontal="center" vertical="center"/>
    </xf>
    <xf numFmtId="0" fontId="67" fillId="10" borderId="0" xfId="0" applyFont="1" applyFill="1" applyAlignment="1">
      <alignment horizontal="left"/>
    </xf>
    <xf numFmtId="0" fontId="64" fillId="10" borderId="28" xfId="0" applyFont="1" applyFill="1" applyBorder="1" applyAlignment="1">
      <alignment horizontal="left" vertical="center"/>
    </xf>
    <xf numFmtId="0" fontId="47" fillId="0" borderId="8" xfId="0" applyFont="1" applyBorder="1" applyAlignment="1">
      <alignment horizontal="center" vertical="center" wrapText="1"/>
    </xf>
    <xf numFmtId="0" fontId="47" fillId="0" borderId="9" xfId="0" applyFont="1" applyBorder="1" applyAlignment="1">
      <alignment horizontal="center" vertical="center" wrapText="1"/>
    </xf>
    <xf numFmtId="0" fontId="105" fillId="12" borderId="0" xfId="0" applyFont="1" applyFill="1" applyAlignment="1">
      <alignment horizontal="center" vertical="center" wrapText="1"/>
    </xf>
    <xf numFmtId="0" fontId="105" fillId="12" borderId="28" xfId="0" applyFont="1" applyFill="1" applyBorder="1" applyAlignment="1">
      <alignment horizontal="center" vertical="center" wrapText="1"/>
    </xf>
    <xf numFmtId="0" fontId="97" fillId="12" borderId="15" xfId="0" applyFont="1" applyFill="1" applyBorder="1" applyAlignment="1">
      <alignment horizontal="right" vertical="center" wrapText="1"/>
    </xf>
    <xf numFmtId="0" fontId="97" fillId="12" borderId="32" xfId="0" applyFont="1" applyFill="1" applyBorder="1" applyAlignment="1">
      <alignment horizontal="right" vertical="center" wrapText="1"/>
    </xf>
    <xf numFmtId="0" fontId="80" fillId="12" borderId="42" xfId="0" applyFont="1" applyFill="1" applyBorder="1" applyAlignment="1">
      <alignment horizontal="left" vertical="center" wrapText="1"/>
    </xf>
    <xf numFmtId="0" fontId="80" fillId="12" borderId="44" xfId="0" applyFont="1" applyFill="1" applyBorder="1" applyAlignment="1">
      <alignment horizontal="left" vertical="center" wrapText="1"/>
    </xf>
    <xf numFmtId="0" fontId="106" fillId="12" borderId="0" xfId="0" applyFont="1" applyFill="1" applyAlignment="1">
      <alignment horizontal="center" vertical="center" wrapText="1"/>
    </xf>
    <xf numFmtId="0" fontId="106" fillId="12" borderId="28" xfId="0" applyFont="1" applyFill="1" applyBorder="1" applyAlignment="1">
      <alignment horizontal="center" vertical="center" wrapText="1"/>
    </xf>
    <xf numFmtId="0" fontId="57" fillId="12" borderId="15" xfId="16" applyFont="1" applyFill="1" applyBorder="1" applyAlignment="1">
      <alignment horizontal="center" vertical="center"/>
    </xf>
    <xf numFmtId="0" fontId="57" fillId="12" borderId="41" xfId="16" applyFont="1" applyFill="1" applyBorder="1" applyAlignment="1">
      <alignment horizontal="center" vertical="center"/>
    </xf>
    <xf numFmtId="0" fontId="57" fillId="12" borderId="42" xfId="16" applyFont="1" applyFill="1" applyBorder="1" applyAlignment="1">
      <alignment horizontal="center" vertical="center"/>
    </xf>
    <xf numFmtId="0" fontId="57" fillId="12" borderId="32" xfId="16" applyFont="1" applyFill="1" applyBorder="1" applyAlignment="1">
      <alignment horizontal="center" vertical="center"/>
    </xf>
    <xf numFmtId="0" fontId="57" fillId="12" borderId="43" xfId="16" applyFont="1" applyFill="1" applyBorder="1" applyAlignment="1">
      <alignment horizontal="center" vertical="center"/>
    </xf>
    <xf numFmtId="0" fontId="57" fillId="12" borderId="44" xfId="16" applyFont="1" applyFill="1" applyBorder="1" applyAlignment="1">
      <alignment horizontal="center" vertical="center"/>
    </xf>
    <xf numFmtId="0" fontId="57" fillId="12" borderId="1" xfId="16" applyFont="1" applyFill="1" applyBorder="1" applyAlignment="1">
      <alignment horizontal="center" vertical="center"/>
    </xf>
    <xf numFmtId="0" fontId="69" fillId="0" borderId="0" xfId="0" applyFont="1" applyAlignment="1">
      <alignment horizontal="left" vertical="center" textRotation="90"/>
    </xf>
    <xf numFmtId="0" fontId="66" fillId="15" borderId="2" xfId="16" applyFont="1" applyFill="1" applyBorder="1" applyAlignment="1">
      <alignment horizontal="left"/>
    </xf>
    <xf numFmtId="0" fontId="66" fillId="15" borderId="14" xfId="16" applyFont="1" applyFill="1" applyBorder="1" applyAlignment="1">
      <alignment horizontal="left"/>
    </xf>
    <xf numFmtId="0" fontId="66" fillId="15" borderId="13" xfId="16" applyFont="1" applyFill="1" applyBorder="1" applyAlignment="1">
      <alignment horizontal="left"/>
    </xf>
    <xf numFmtId="167" fontId="55" fillId="4" borderId="2" xfId="56" applyNumberFormat="1" applyFont="1" applyFill="1" applyBorder="1" applyAlignment="1" applyProtection="1">
      <alignment horizontal="center" vertical="center"/>
    </xf>
    <xf numFmtId="167" fontId="55" fillId="4" borderId="13" xfId="56" applyNumberFormat="1" applyFont="1" applyFill="1" applyBorder="1" applyAlignment="1" applyProtection="1">
      <alignment horizontal="center" vertical="center"/>
    </xf>
    <xf numFmtId="0" fontId="57" fillId="12" borderId="16" xfId="16" applyFont="1" applyFill="1" applyBorder="1" applyAlignment="1">
      <alignment horizontal="center" vertical="center" wrapText="1"/>
    </xf>
    <xf numFmtId="0" fontId="57" fillId="12" borderId="11" xfId="16" applyFont="1" applyFill="1" applyBorder="1" applyAlignment="1">
      <alignment horizontal="center" vertical="center" wrapText="1"/>
    </xf>
    <xf numFmtId="169" fontId="55" fillId="8" borderId="1" xfId="56" applyNumberFormat="1" applyFont="1" applyFill="1" applyBorder="1" applyAlignment="1" applyProtection="1">
      <alignment horizontal="right" vertical="center"/>
    </xf>
    <xf numFmtId="0" fontId="57" fillId="9" borderId="15" xfId="16" applyFont="1" applyFill="1" applyBorder="1" applyAlignment="1">
      <alignment horizontal="center" vertical="center" wrapText="1"/>
    </xf>
    <xf numFmtId="0" fontId="57" fillId="9" borderId="32" xfId="16" applyFont="1" applyFill="1" applyBorder="1" applyAlignment="1">
      <alignment horizontal="center" vertical="center" wrapText="1"/>
    </xf>
    <xf numFmtId="0" fontId="57" fillId="9" borderId="1" xfId="16" applyFont="1" applyFill="1" applyBorder="1" applyAlignment="1">
      <alignment horizontal="center" vertical="center" wrapText="1"/>
    </xf>
    <xf numFmtId="167" fontId="55" fillId="4" borderId="15" xfId="56" applyNumberFormat="1" applyFont="1" applyFill="1" applyBorder="1" applyAlignment="1" applyProtection="1">
      <alignment horizontal="center" vertical="center" wrapText="1"/>
    </xf>
    <xf numFmtId="167" fontId="55" fillId="4" borderId="42" xfId="56" applyNumberFormat="1" applyFont="1" applyFill="1" applyBorder="1" applyAlignment="1" applyProtection="1">
      <alignment horizontal="center" vertical="center" wrapText="1"/>
    </xf>
    <xf numFmtId="167" fontId="55" fillId="4" borderId="10" xfId="56" applyNumberFormat="1" applyFont="1" applyFill="1" applyBorder="1" applyAlignment="1" applyProtection="1">
      <alignment horizontal="center" vertical="center" wrapText="1"/>
    </xf>
    <xf numFmtId="167" fontId="55" fillId="4" borderId="28" xfId="56" applyNumberFormat="1" applyFont="1" applyFill="1" applyBorder="1" applyAlignment="1" applyProtection="1">
      <alignment horizontal="center" vertical="center" wrapText="1"/>
    </xf>
    <xf numFmtId="167" fontId="55" fillId="4" borderId="32" xfId="56" applyNumberFormat="1" applyFont="1" applyFill="1" applyBorder="1" applyAlignment="1" applyProtection="1">
      <alignment horizontal="center" vertical="center" wrapText="1"/>
    </xf>
    <xf numFmtId="167" fontId="55" fillId="4" borderId="44" xfId="56" applyNumberFormat="1" applyFont="1" applyFill="1" applyBorder="1" applyAlignment="1" applyProtection="1">
      <alignment horizontal="center" vertical="center" wrapText="1"/>
    </xf>
    <xf numFmtId="0" fontId="57" fillId="9" borderId="16" xfId="16" applyFont="1" applyFill="1" applyBorder="1" applyAlignment="1">
      <alignment horizontal="center" vertical="center" wrapText="1"/>
    </xf>
    <xf numFmtId="0" fontId="57" fillId="9" borderId="11" xfId="16" applyFont="1" applyFill="1" applyBorder="1" applyAlignment="1">
      <alignment horizontal="center" vertical="center" wrapText="1"/>
    </xf>
    <xf numFmtId="169" fontId="55" fillId="8" borderId="2" xfId="56" applyNumberFormat="1" applyFont="1" applyFill="1" applyBorder="1" applyAlignment="1" applyProtection="1">
      <alignment horizontal="right" vertical="center"/>
    </xf>
    <xf numFmtId="169" fontId="55" fillId="8" borderId="13" xfId="56" applyNumberFormat="1" applyFont="1" applyFill="1" applyBorder="1" applyAlignment="1" applyProtection="1">
      <alignment horizontal="right" vertical="center"/>
    </xf>
    <xf numFmtId="0" fontId="65" fillId="8" borderId="29" xfId="0" applyFont="1" applyFill="1" applyBorder="1" applyAlignment="1">
      <alignment horizontal="center" vertical="center"/>
    </xf>
    <xf numFmtId="0" fontId="65" fillId="8" borderId="30" xfId="0" applyFont="1" applyFill="1" applyBorder="1" applyAlignment="1">
      <alignment horizontal="center" vertical="center"/>
    </xf>
    <xf numFmtId="0" fontId="65" fillId="8" borderId="31" xfId="0" applyFont="1" applyFill="1" applyBorder="1" applyAlignment="1">
      <alignment horizontal="center" vertical="center"/>
    </xf>
    <xf numFmtId="0" fontId="66" fillId="15" borderId="2" xfId="16" applyFont="1" applyFill="1" applyBorder="1" applyAlignment="1">
      <alignment horizontal="center"/>
    </xf>
    <xf numFmtId="0" fontId="66" fillId="15" borderId="14" xfId="16" applyFont="1" applyFill="1" applyBorder="1" applyAlignment="1">
      <alignment horizontal="center"/>
    </xf>
    <xf numFmtId="0" fontId="66" fillId="15" borderId="13" xfId="16" applyFont="1" applyFill="1" applyBorder="1" applyAlignment="1">
      <alignment horizontal="center"/>
    </xf>
    <xf numFmtId="0" fontId="69" fillId="0" borderId="10" xfId="0" applyFont="1" applyBorder="1" applyAlignment="1">
      <alignment horizontal="left" vertical="center" textRotation="90"/>
    </xf>
    <xf numFmtId="0" fontId="107" fillId="12" borderId="15" xfId="16" applyFont="1" applyFill="1" applyBorder="1" applyAlignment="1">
      <alignment horizontal="center" vertical="center"/>
    </xf>
    <xf numFmtId="0" fontId="107" fillId="12" borderId="42" xfId="16" applyFont="1" applyFill="1" applyBorder="1" applyAlignment="1">
      <alignment horizontal="center" vertical="center"/>
    </xf>
    <xf numFmtId="0" fontId="107" fillId="12" borderId="32" xfId="16" applyFont="1" applyFill="1" applyBorder="1" applyAlignment="1">
      <alignment horizontal="center" vertical="center"/>
    </xf>
    <xf numFmtId="0" fontId="107" fillId="12" borderId="44" xfId="16" applyFont="1" applyFill="1" applyBorder="1" applyAlignment="1">
      <alignment horizontal="center" vertical="center"/>
    </xf>
    <xf numFmtId="0" fontId="67" fillId="0" borderId="1" xfId="0" applyFont="1" applyBorder="1" applyAlignment="1">
      <alignment horizontal="center"/>
    </xf>
    <xf numFmtId="0" fontId="106" fillId="12" borderId="2" xfId="0" applyFont="1" applyFill="1" applyBorder="1" applyAlignment="1">
      <alignment horizontal="center" vertical="center" wrapText="1"/>
    </xf>
    <xf numFmtId="0" fontId="106" fillId="12" borderId="14" xfId="0" applyFont="1" applyFill="1" applyBorder="1" applyAlignment="1">
      <alignment horizontal="center" vertical="center" wrapText="1"/>
    </xf>
    <xf numFmtId="0" fontId="106" fillId="12" borderId="13" xfId="0" applyFont="1" applyFill="1" applyBorder="1" applyAlignment="1">
      <alignment horizontal="center" vertical="center" wrapText="1"/>
    </xf>
    <xf numFmtId="0" fontId="45" fillId="12" borderId="16" xfId="18" applyFont="1" applyFill="1" applyBorder="1" applyAlignment="1">
      <alignment horizontal="center" vertical="center" wrapText="1"/>
    </xf>
    <xf numFmtId="0" fontId="45" fillId="12" borderId="11" xfId="18" applyFont="1" applyFill="1" applyBorder="1" applyAlignment="1">
      <alignment horizontal="center" vertical="center" wrapText="1"/>
    </xf>
    <xf numFmtId="0" fontId="67" fillId="0" borderId="2" xfId="0" applyFont="1" applyBorder="1" applyAlignment="1">
      <alignment horizontal="center"/>
    </xf>
    <xf numFmtId="0" fontId="67" fillId="0" borderId="14" xfId="0" applyFont="1" applyBorder="1" applyAlignment="1">
      <alignment horizontal="center"/>
    </xf>
    <xf numFmtId="0" fontId="67" fillId="0" borderId="13" xfId="0" applyFont="1" applyBorder="1" applyAlignment="1">
      <alignment horizontal="center"/>
    </xf>
    <xf numFmtId="0" fontId="66" fillId="14" borderId="3" xfId="16" applyFont="1" applyFill="1" applyBorder="1" applyAlignment="1">
      <alignment horizontal="center" vertical="center"/>
    </xf>
    <xf numFmtId="0" fontId="66" fillId="14" borderId="12" xfId="16" applyFont="1" applyFill="1" applyBorder="1" applyAlignment="1">
      <alignment horizontal="center" vertical="center"/>
    </xf>
    <xf numFmtId="0" fontId="66" fillId="14" borderId="49" xfId="16" applyFont="1" applyFill="1" applyBorder="1" applyAlignment="1">
      <alignment horizontal="center" vertical="center"/>
    </xf>
    <xf numFmtId="0" fontId="66" fillId="14" borderId="5" xfId="16" applyFont="1" applyFill="1" applyBorder="1" applyAlignment="1">
      <alignment horizontal="center" vertical="center"/>
    </xf>
    <xf numFmtId="0" fontId="66" fillId="14" borderId="0" xfId="16" applyFont="1" applyFill="1" applyAlignment="1">
      <alignment horizontal="center" vertical="center"/>
    </xf>
    <xf numFmtId="0" fontId="66" fillId="14" borderId="28" xfId="16" applyFont="1" applyFill="1" applyBorder="1" applyAlignment="1">
      <alignment horizontal="center" vertical="center"/>
    </xf>
    <xf numFmtId="0" fontId="66" fillId="14" borderId="7" xfId="16" applyFont="1" applyFill="1" applyBorder="1" applyAlignment="1">
      <alignment horizontal="center" vertical="center"/>
    </xf>
    <xf numFmtId="0" fontId="66" fillId="14" borderId="8" xfId="16" applyFont="1" applyFill="1" applyBorder="1" applyAlignment="1">
      <alignment horizontal="center" vertical="center"/>
    </xf>
    <xf numFmtId="0" fontId="66" fillId="14" borderId="50" xfId="16" applyFont="1" applyFill="1" applyBorder="1" applyAlignment="1">
      <alignment horizontal="center" vertical="center"/>
    </xf>
    <xf numFmtId="0" fontId="66" fillId="14" borderId="45" xfId="16" applyFont="1" applyFill="1" applyBorder="1" applyAlignment="1">
      <alignment horizontal="center" vertical="center"/>
    </xf>
    <xf numFmtId="0" fontId="66" fillId="14" borderId="41" xfId="16" applyFont="1" applyFill="1" applyBorder="1" applyAlignment="1">
      <alignment horizontal="center" vertical="center"/>
    </xf>
    <xf numFmtId="0" fontId="66" fillId="14" borderId="42" xfId="16" applyFont="1" applyFill="1" applyBorder="1" applyAlignment="1">
      <alignment horizontal="center" vertical="center"/>
    </xf>
    <xf numFmtId="0" fontId="66" fillId="14" borderId="46" xfId="16" applyFont="1" applyFill="1" applyBorder="1" applyAlignment="1">
      <alignment horizontal="center" vertical="center"/>
    </xf>
    <xf numFmtId="0" fontId="66" fillId="14" borderId="43" xfId="16" applyFont="1" applyFill="1" applyBorder="1" applyAlignment="1">
      <alignment horizontal="center" vertical="center"/>
    </xf>
    <xf numFmtId="0" fontId="66" fillId="14" borderId="44" xfId="16" applyFont="1" applyFill="1" applyBorder="1" applyAlignment="1">
      <alignment horizontal="center" vertical="center"/>
    </xf>
    <xf numFmtId="167" fontId="55" fillId="6" borderId="16" xfId="56" applyNumberFormat="1" applyFont="1" applyFill="1" applyBorder="1" applyAlignment="1" applyProtection="1">
      <alignment horizontal="center" vertical="center"/>
    </xf>
    <xf numFmtId="167" fontId="55" fillId="6" borderId="11" xfId="56" applyNumberFormat="1" applyFont="1" applyFill="1" applyBorder="1" applyAlignment="1" applyProtection="1">
      <alignment horizontal="center" vertical="center"/>
    </xf>
    <xf numFmtId="9" fontId="55" fillId="6" borderId="16" xfId="30" applyFont="1" applyFill="1" applyBorder="1" applyAlignment="1" applyProtection="1">
      <alignment horizontal="center" vertical="center"/>
    </xf>
    <xf numFmtId="9" fontId="55" fillId="6" borderId="11" xfId="30" applyFont="1" applyFill="1" applyBorder="1" applyAlignment="1" applyProtection="1">
      <alignment horizontal="center" vertical="center"/>
    </xf>
    <xf numFmtId="0" fontId="57" fillId="12" borderId="15" xfId="0" applyFont="1" applyFill="1" applyBorder="1" applyAlignment="1">
      <alignment horizontal="center" vertical="center" wrapText="1"/>
    </xf>
    <xf numFmtId="0" fontId="57" fillId="12" borderId="41" xfId="0" applyFont="1" applyFill="1" applyBorder="1" applyAlignment="1">
      <alignment horizontal="center" vertical="center" wrapText="1"/>
    </xf>
    <xf numFmtId="0" fontId="57" fillId="12" borderId="42" xfId="0" applyFont="1" applyFill="1" applyBorder="1" applyAlignment="1">
      <alignment horizontal="center" vertical="center" wrapText="1"/>
    </xf>
    <xf numFmtId="0" fontId="57" fillId="12" borderId="32" xfId="0" applyFont="1" applyFill="1" applyBorder="1" applyAlignment="1">
      <alignment horizontal="center" vertical="center" wrapText="1"/>
    </xf>
    <xf numFmtId="0" fontId="57" fillId="12" borderId="43" xfId="0" applyFont="1" applyFill="1" applyBorder="1" applyAlignment="1">
      <alignment horizontal="center" vertical="center" wrapText="1"/>
    </xf>
    <xf numFmtId="0" fontId="57" fillId="12" borderId="44" xfId="0" applyFont="1" applyFill="1" applyBorder="1" applyAlignment="1">
      <alignment horizontal="center" vertical="center" wrapText="1"/>
    </xf>
    <xf numFmtId="0" fontId="57" fillId="12" borderId="16" xfId="0" applyFont="1" applyFill="1" applyBorder="1" applyAlignment="1">
      <alignment horizontal="center" vertical="center" wrapText="1"/>
    </xf>
    <xf numFmtId="0" fontId="57" fillId="12" borderId="11" xfId="0" applyFont="1" applyFill="1" applyBorder="1" applyAlignment="1">
      <alignment horizontal="center" vertical="center" wrapText="1"/>
    </xf>
    <xf numFmtId="167" fontId="55" fillId="6" borderId="1" xfId="56" applyNumberFormat="1" applyFont="1" applyFill="1" applyBorder="1" applyAlignment="1" applyProtection="1">
      <alignment horizontal="center" vertical="center"/>
    </xf>
    <xf numFmtId="9" fontId="55" fillId="6" borderId="1" xfId="30" applyFont="1" applyFill="1" applyBorder="1" applyAlignment="1" applyProtection="1">
      <alignment horizontal="center" vertical="center"/>
    </xf>
    <xf numFmtId="0" fontId="57" fillId="0" borderId="0" xfId="16" applyFont="1" applyAlignment="1">
      <alignment horizontal="center" vertical="center"/>
    </xf>
    <xf numFmtId="0" fontId="66" fillId="16" borderId="51" xfId="16" applyFont="1" applyFill="1" applyBorder="1" applyAlignment="1">
      <alignment horizontal="center" vertical="center"/>
    </xf>
    <xf numFmtId="0" fontId="66" fillId="16" borderId="18" xfId="16" applyFont="1" applyFill="1" applyBorder="1" applyAlignment="1">
      <alignment horizontal="center" vertical="center"/>
    </xf>
    <xf numFmtId="0" fontId="66" fillId="16" borderId="52" xfId="16" applyFont="1" applyFill="1" applyBorder="1" applyAlignment="1">
      <alignment horizontal="center" vertical="center"/>
    </xf>
    <xf numFmtId="0" fontId="66" fillId="16" borderId="1" xfId="16" applyFont="1" applyFill="1" applyBorder="1" applyAlignment="1">
      <alignment horizontal="center" vertical="center"/>
    </xf>
    <xf numFmtId="0" fontId="66" fillId="16" borderId="53" xfId="16" applyFont="1" applyFill="1" applyBorder="1" applyAlignment="1">
      <alignment horizontal="center" vertical="center"/>
    </xf>
    <xf numFmtId="0" fontId="66" fillId="16" borderId="16" xfId="16" applyFont="1" applyFill="1" applyBorder="1" applyAlignment="1">
      <alignment horizontal="center" vertical="center"/>
    </xf>
    <xf numFmtId="0" fontId="57" fillId="9" borderId="2" xfId="16" applyFont="1" applyFill="1" applyBorder="1" applyAlignment="1">
      <alignment horizontal="center" vertical="center"/>
    </xf>
    <xf numFmtId="0" fontId="57" fillId="9" borderId="13" xfId="16" applyFont="1" applyFill="1" applyBorder="1" applyAlignment="1">
      <alignment horizontal="center" vertical="center"/>
    </xf>
    <xf numFmtId="0" fontId="66" fillId="16" borderId="5" xfId="16" applyFont="1" applyFill="1" applyBorder="1" applyAlignment="1">
      <alignment horizontal="center" vertical="center"/>
    </xf>
    <xf numFmtId="0" fontId="66" fillId="16" borderId="0" xfId="16" applyFont="1" applyFill="1" applyAlignment="1">
      <alignment horizontal="center" vertical="center"/>
    </xf>
    <xf numFmtId="0" fontId="66" fillId="16" borderId="28" xfId="16" applyFont="1" applyFill="1" applyBorder="1" applyAlignment="1">
      <alignment horizontal="center" vertical="center"/>
    </xf>
    <xf numFmtId="0" fontId="57" fillId="9" borderId="16" xfId="16" applyFont="1" applyFill="1" applyBorder="1" applyAlignment="1">
      <alignment horizontal="center" vertical="center"/>
    </xf>
    <xf numFmtId="0" fontId="66" fillId="14" borderId="51" xfId="16" applyFont="1" applyFill="1" applyBorder="1" applyAlignment="1">
      <alignment horizontal="center" vertical="center"/>
    </xf>
    <xf numFmtId="0" fontId="66" fillId="14" borderId="18" xfId="16" applyFont="1" applyFill="1" applyBorder="1" applyAlignment="1">
      <alignment horizontal="center" vertical="center"/>
    </xf>
    <xf numFmtId="0" fontId="66" fillId="14" borderId="52" xfId="16" applyFont="1" applyFill="1" applyBorder="1" applyAlignment="1">
      <alignment horizontal="center" vertical="center"/>
    </xf>
    <xf numFmtId="0" fontId="66" fillId="14" borderId="1" xfId="16" applyFont="1" applyFill="1" applyBorder="1" applyAlignment="1">
      <alignment horizontal="center" vertical="center"/>
    </xf>
    <xf numFmtId="0" fontId="66" fillId="14" borderId="54" xfId="16" applyFont="1" applyFill="1" applyBorder="1" applyAlignment="1">
      <alignment horizontal="center" vertical="center"/>
    </xf>
    <xf numFmtId="0" fontId="66" fillId="14" borderId="19" xfId="16" applyFont="1" applyFill="1" applyBorder="1" applyAlignment="1">
      <alignment horizontal="center" vertical="center"/>
    </xf>
    <xf numFmtId="0" fontId="57" fillId="9" borderId="20" xfId="16" applyFont="1" applyFill="1" applyBorder="1" applyAlignment="1">
      <alignment horizontal="center" vertical="center"/>
    </xf>
    <xf numFmtId="0" fontId="57" fillId="9" borderId="55" xfId="16" applyFont="1" applyFill="1" applyBorder="1" applyAlignment="1">
      <alignment horizontal="center" vertical="center"/>
    </xf>
    <xf numFmtId="0" fontId="57" fillId="9" borderId="51" xfId="16" applyFont="1" applyFill="1" applyBorder="1" applyAlignment="1">
      <alignment horizontal="center" vertical="center"/>
    </xf>
    <xf numFmtId="0" fontId="57" fillId="9" borderId="18" xfId="16" applyFont="1" applyFill="1" applyBorder="1" applyAlignment="1">
      <alignment horizontal="center" vertical="center"/>
    </xf>
    <xf numFmtId="0" fontId="57" fillId="9" borderId="52" xfId="16" applyFont="1" applyFill="1" applyBorder="1" applyAlignment="1">
      <alignment horizontal="center" vertical="center"/>
    </xf>
    <xf numFmtId="0" fontId="57" fillId="9" borderId="17" xfId="16" applyFont="1" applyFill="1" applyBorder="1" applyAlignment="1">
      <alignment horizontal="center" vertical="center"/>
    </xf>
    <xf numFmtId="0" fontId="57" fillId="9" borderId="47" xfId="16" applyFont="1" applyFill="1" applyBorder="1" applyAlignment="1">
      <alignment horizontal="center" vertical="center"/>
    </xf>
    <xf numFmtId="0" fontId="57" fillId="16" borderId="48" xfId="16" applyFont="1" applyFill="1" applyBorder="1" applyAlignment="1">
      <alignment horizontal="center" vertical="center"/>
    </xf>
    <xf numFmtId="0" fontId="57" fillId="16" borderId="17" xfId="16" applyFont="1" applyFill="1" applyBorder="1" applyAlignment="1">
      <alignment horizontal="center" vertical="center"/>
    </xf>
    <xf numFmtId="0" fontId="57" fillId="16" borderId="20" xfId="16" applyFont="1" applyFill="1" applyBorder="1" applyAlignment="1">
      <alignment horizontal="center" vertical="center"/>
    </xf>
    <xf numFmtId="0" fontId="57" fillId="16" borderId="47" xfId="16" applyFont="1" applyFill="1" applyBorder="1" applyAlignment="1">
      <alignment horizontal="center" vertical="center"/>
    </xf>
    <xf numFmtId="0" fontId="66" fillId="16" borderId="3" xfId="16" applyFont="1" applyFill="1" applyBorder="1" applyAlignment="1">
      <alignment horizontal="center" vertical="center"/>
    </xf>
    <xf numFmtId="0" fontId="66" fillId="16" borderId="12" xfId="16" applyFont="1" applyFill="1" applyBorder="1" applyAlignment="1">
      <alignment horizontal="center" vertical="center"/>
    </xf>
    <xf numFmtId="0" fontId="66" fillId="16" borderId="49" xfId="16" applyFont="1" applyFill="1" applyBorder="1" applyAlignment="1">
      <alignment horizontal="center" vertical="center"/>
    </xf>
    <xf numFmtId="0" fontId="66" fillId="16" borderId="7" xfId="16" applyFont="1" applyFill="1" applyBorder="1" applyAlignment="1">
      <alignment horizontal="center" vertical="center"/>
    </xf>
    <xf numFmtId="0" fontId="66" fillId="16" borderId="8" xfId="16" applyFont="1" applyFill="1" applyBorder="1" applyAlignment="1">
      <alignment horizontal="center" vertical="center"/>
    </xf>
    <xf numFmtId="0" fontId="66" fillId="16" borderId="50" xfId="16" applyFont="1" applyFill="1" applyBorder="1" applyAlignment="1">
      <alignment horizontal="center" vertical="center"/>
    </xf>
    <xf numFmtId="0" fontId="57" fillId="16" borderId="55" xfId="16" applyFont="1" applyFill="1" applyBorder="1" applyAlignment="1">
      <alignment horizontal="center" vertical="center"/>
    </xf>
    <xf numFmtId="0" fontId="57" fillId="16" borderId="51" xfId="16" applyFont="1" applyFill="1" applyBorder="1" applyAlignment="1">
      <alignment horizontal="center" vertical="center"/>
    </xf>
    <xf numFmtId="0" fontId="57" fillId="16" borderId="18" xfId="16" applyFont="1" applyFill="1" applyBorder="1" applyAlignment="1">
      <alignment horizontal="center" vertical="center"/>
    </xf>
    <xf numFmtId="0" fontId="57" fillId="16" borderId="53" xfId="16" applyFont="1" applyFill="1" applyBorder="1" applyAlignment="1">
      <alignment horizontal="center" vertical="center"/>
    </xf>
    <xf numFmtId="0" fontId="57" fillId="16" borderId="16" xfId="16" applyFont="1" applyFill="1" applyBorder="1" applyAlignment="1">
      <alignment horizontal="center" vertical="center"/>
    </xf>
    <xf numFmtId="0" fontId="86" fillId="9" borderId="0" xfId="16" applyFont="1" applyFill="1" applyAlignment="1">
      <alignment horizontal="center" vertical="center"/>
    </xf>
    <xf numFmtId="0" fontId="86" fillId="9" borderId="28" xfId="16" applyFont="1" applyFill="1" applyBorder="1" applyAlignment="1">
      <alignment horizontal="center" vertical="center"/>
    </xf>
    <xf numFmtId="0" fontId="57" fillId="9" borderId="48" xfId="16" applyFont="1" applyFill="1" applyBorder="1" applyAlignment="1">
      <alignment horizontal="center" vertical="center"/>
    </xf>
    <xf numFmtId="0" fontId="57" fillId="9" borderId="11" xfId="16" applyFont="1" applyFill="1" applyBorder="1" applyAlignment="1">
      <alignment horizontal="center" vertical="center"/>
    </xf>
    <xf numFmtId="0" fontId="57" fillId="9" borderId="2" xfId="0" applyFont="1" applyFill="1" applyBorder="1" applyAlignment="1">
      <alignment horizontal="center"/>
    </xf>
    <xf numFmtId="0" fontId="57" fillId="9" borderId="13" xfId="0" applyFont="1" applyFill="1" applyBorder="1" applyAlignment="1">
      <alignment horizontal="center"/>
    </xf>
    <xf numFmtId="0" fontId="106" fillId="12" borderId="1" xfId="0" applyFont="1" applyFill="1" applyBorder="1" applyAlignment="1">
      <alignment horizontal="center" vertical="center" wrapText="1"/>
    </xf>
    <xf numFmtId="0" fontId="80" fillId="12" borderId="32" xfId="0" applyFont="1" applyFill="1" applyBorder="1" applyAlignment="1">
      <alignment horizontal="center" vertical="center" wrapText="1"/>
    </xf>
    <xf numFmtId="0" fontId="80" fillId="12" borderId="43" xfId="0" applyFont="1" applyFill="1" applyBorder="1" applyAlignment="1">
      <alignment horizontal="center" vertical="center" wrapText="1"/>
    </xf>
    <xf numFmtId="0" fontId="80" fillId="12" borderId="44" xfId="0" applyFont="1" applyFill="1" applyBorder="1" applyAlignment="1">
      <alignment horizontal="center" vertical="center" wrapText="1"/>
    </xf>
    <xf numFmtId="0" fontId="106" fillId="12" borderId="15" xfId="0" applyFont="1" applyFill="1" applyBorder="1" applyAlignment="1">
      <alignment horizontal="center" vertical="center" wrapText="1"/>
    </xf>
    <xf numFmtId="0" fontId="106" fillId="12" borderId="41" xfId="0" applyFont="1" applyFill="1" applyBorder="1" applyAlignment="1">
      <alignment horizontal="center" vertical="center" wrapText="1"/>
    </xf>
    <xf numFmtId="0" fontId="106" fillId="12" borderId="42" xfId="0" applyFont="1" applyFill="1" applyBorder="1" applyAlignment="1">
      <alignment horizontal="center" vertical="center" wrapText="1"/>
    </xf>
    <xf numFmtId="0" fontId="57" fillId="16" borderId="1" xfId="16" applyFont="1" applyFill="1" applyBorder="1" applyAlignment="1">
      <alignment horizontal="center" vertical="center"/>
    </xf>
    <xf numFmtId="0" fontId="66" fillId="16" borderId="4" xfId="16" applyFont="1" applyFill="1" applyBorder="1" applyAlignment="1">
      <alignment horizontal="center" vertical="center"/>
    </xf>
    <xf numFmtId="0" fontId="66" fillId="16" borderId="6" xfId="16" applyFont="1" applyFill="1" applyBorder="1" applyAlignment="1">
      <alignment horizontal="center" vertical="center"/>
    </xf>
    <xf numFmtId="0" fontId="66" fillId="16" borderId="9" xfId="16" applyFont="1" applyFill="1" applyBorder="1" applyAlignment="1">
      <alignment horizontal="center" vertical="center"/>
    </xf>
    <xf numFmtId="0" fontId="108" fillId="12" borderId="23" xfId="16" applyFont="1" applyFill="1" applyBorder="1" applyAlignment="1">
      <alignment horizontal="center" vertical="center"/>
    </xf>
    <xf numFmtId="0" fontId="80" fillId="12" borderId="22" xfId="16" applyFont="1" applyFill="1" applyBorder="1" applyAlignment="1">
      <alignment horizontal="center" vertical="center"/>
    </xf>
    <xf numFmtId="0" fontId="57" fillId="16" borderId="2" xfId="16" applyFont="1" applyFill="1" applyBorder="1" applyAlignment="1">
      <alignment horizontal="center" vertical="center"/>
    </xf>
    <xf numFmtId="0" fontId="57" fillId="16" borderId="13" xfId="16" applyFont="1" applyFill="1" applyBorder="1" applyAlignment="1">
      <alignment horizontal="center" vertical="center"/>
    </xf>
    <xf numFmtId="167" fontId="55" fillId="8" borderId="47" xfId="56" applyNumberFormat="1" applyFont="1" applyFill="1" applyBorder="1" applyAlignment="1" applyProtection="1">
      <alignment horizontal="center" vertical="center"/>
    </xf>
    <xf numFmtId="167" fontId="55" fillId="8" borderId="13" xfId="56" applyNumberFormat="1" applyFont="1" applyFill="1" applyBorder="1" applyAlignment="1" applyProtection="1">
      <alignment horizontal="center" vertical="center"/>
    </xf>
    <xf numFmtId="167" fontId="55" fillId="8" borderId="64" xfId="56" applyNumberFormat="1" applyFont="1" applyFill="1" applyBorder="1" applyAlignment="1" applyProtection="1">
      <alignment horizontal="center" vertical="center"/>
    </xf>
    <xf numFmtId="167" fontId="55" fillId="8" borderId="48" xfId="56" applyNumberFormat="1" applyFont="1" applyFill="1" applyBorder="1" applyAlignment="1" applyProtection="1">
      <alignment horizontal="center" vertical="center"/>
    </xf>
    <xf numFmtId="167" fontId="55" fillId="8" borderId="17" xfId="56" applyNumberFormat="1" applyFont="1" applyFill="1" applyBorder="1" applyAlignment="1" applyProtection="1">
      <alignment horizontal="center" vertical="center"/>
    </xf>
    <xf numFmtId="167" fontId="55" fillId="8" borderId="56" xfId="56" applyNumberFormat="1" applyFont="1" applyFill="1" applyBorder="1" applyAlignment="1" applyProtection="1">
      <alignment horizontal="center" vertical="center"/>
    </xf>
    <xf numFmtId="0" fontId="66" fillId="14" borderId="59" xfId="16" applyFont="1" applyFill="1" applyBorder="1" applyAlignment="1">
      <alignment horizontal="center" vertical="center"/>
    </xf>
    <xf numFmtId="0" fontId="66" fillId="14" borderId="11" xfId="16" applyFont="1" applyFill="1" applyBorder="1" applyAlignment="1">
      <alignment horizontal="center" vertical="center"/>
    </xf>
    <xf numFmtId="167" fontId="55" fillId="8" borderId="11" xfId="56" applyNumberFormat="1" applyFont="1" applyFill="1" applyBorder="1" applyAlignment="1" applyProtection="1">
      <alignment horizontal="center" vertical="center"/>
    </xf>
    <xf numFmtId="167" fontId="55" fillId="8" borderId="1" xfId="56" applyNumberFormat="1" applyFont="1" applyFill="1" applyBorder="1" applyAlignment="1" applyProtection="1">
      <alignment horizontal="center" vertical="center"/>
    </xf>
    <xf numFmtId="167" fontId="55" fillId="8" borderId="19" xfId="56" applyNumberFormat="1" applyFont="1" applyFill="1" applyBorder="1" applyAlignment="1" applyProtection="1">
      <alignment horizontal="center" vertical="center"/>
    </xf>
    <xf numFmtId="167" fontId="55" fillId="8" borderId="27" xfId="56" applyNumberFormat="1" applyFont="1" applyFill="1" applyBorder="1" applyAlignment="1" applyProtection="1">
      <alignment horizontal="center" vertical="center"/>
    </xf>
    <xf numFmtId="167" fontId="55" fillId="8" borderId="24" xfId="56" applyNumberFormat="1" applyFont="1" applyFill="1" applyBorder="1" applyAlignment="1" applyProtection="1">
      <alignment horizontal="center" vertical="center"/>
    </xf>
    <xf numFmtId="167" fontId="55" fillId="8" borderId="25" xfId="56" applyNumberFormat="1" applyFont="1" applyFill="1" applyBorder="1" applyAlignment="1" applyProtection="1">
      <alignment horizontal="center" vertical="center"/>
    </xf>
    <xf numFmtId="167" fontId="55" fillId="8" borderId="49" xfId="56" applyNumberFormat="1" applyFont="1" applyFill="1" applyBorder="1" applyAlignment="1" applyProtection="1">
      <alignment horizontal="center" vertical="center"/>
    </xf>
    <xf numFmtId="167" fontId="55" fillId="8" borderId="28" xfId="56" applyNumberFormat="1" applyFont="1" applyFill="1" applyBorder="1" applyAlignment="1" applyProtection="1">
      <alignment horizontal="center" vertical="center"/>
    </xf>
    <xf numFmtId="167" fontId="55" fillId="8" borderId="50" xfId="56" applyNumberFormat="1" applyFont="1" applyFill="1" applyBorder="1" applyAlignment="1" applyProtection="1">
      <alignment horizontal="center" vertical="center"/>
    </xf>
    <xf numFmtId="167" fontId="55" fillId="8" borderId="57" xfId="56" applyNumberFormat="1" applyFont="1" applyFill="1" applyBorder="1" applyAlignment="1" applyProtection="1">
      <alignment horizontal="center" vertical="center"/>
    </xf>
    <xf numFmtId="167" fontId="55" fillId="8" borderId="58" xfId="56" applyNumberFormat="1" applyFont="1" applyFill="1" applyBorder="1" applyAlignment="1" applyProtection="1">
      <alignment horizontal="center" vertical="center"/>
    </xf>
    <xf numFmtId="167" fontId="55" fillId="8" borderId="38" xfId="56" applyNumberFormat="1" applyFont="1" applyFill="1" applyBorder="1" applyAlignment="1" applyProtection="1">
      <alignment horizontal="center" vertical="center"/>
    </xf>
    <xf numFmtId="167" fontId="55" fillId="8" borderId="60" xfId="56" applyNumberFormat="1" applyFont="1" applyFill="1" applyBorder="1" applyAlignment="1" applyProtection="1">
      <alignment horizontal="center" vertical="center"/>
    </xf>
    <xf numFmtId="167" fontId="55" fillId="8" borderId="61" xfId="56" applyNumberFormat="1" applyFont="1" applyFill="1" applyBorder="1" applyAlignment="1" applyProtection="1">
      <alignment horizontal="center" vertical="center"/>
    </xf>
    <xf numFmtId="167" fontId="55" fillId="8" borderId="62" xfId="56" applyNumberFormat="1" applyFont="1" applyFill="1" applyBorder="1" applyAlignment="1" applyProtection="1">
      <alignment horizontal="center" vertical="center"/>
    </xf>
    <xf numFmtId="167" fontId="55" fillId="8" borderId="44" xfId="56" applyNumberFormat="1" applyFont="1" applyFill="1" applyBorder="1" applyAlignment="1" applyProtection="1">
      <alignment horizontal="center" vertical="center"/>
    </xf>
    <xf numFmtId="0" fontId="77" fillId="12" borderId="2" xfId="0" applyFont="1" applyFill="1" applyBorder="1" applyAlignment="1">
      <alignment horizontal="center" vertical="center" wrapText="1"/>
    </xf>
    <xf numFmtId="0" fontId="77" fillId="12" borderId="14" xfId="0" applyFont="1" applyFill="1" applyBorder="1" applyAlignment="1">
      <alignment horizontal="center" vertical="center" wrapText="1"/>
    </xf>
    <xf numFmtId="0" fontId="77" fillId="12" borderId="13" xfId="0" applyFont="1" applyFill="1" applyBorder="1" applyAlignment="1">
      <alignment horizontal="center" vertical="center" wrapText="1"/>
    </xf>
    <xf numFmtId="0" fontId="77" fillId="11" borderId="2" xfId="0" applyFont="1" applyFill="1" applyBorder="1" applyAlignment="1">
      <alignment horizontal="center" vertical="center" wrapText="1"/>
    </xf>
    <xf numFmtId="0" fontId="77" fillId="11" borderId="14" xfId="0" applyFont="1" applyFill="1" applyBorder="1" applyAlignment="1">
      <alignment horizontal="center" vertical="center" wrapText="1"/>
    </xf>
    <xf numFmtId="0" fontId="77" fillId="11" borderId="13" xfId="0" applyFont="1" applyFill="1" applyBorder="1" applyAlignment="1">
      <alignment horizontal="center" vertical="center" wrapText="1"/>
    </xf>
    <xf numFmtId="0" fontId="106" fillId="11" borderId="2" xfId="0" applyFont="1" applyFill="1" applyBorder="1" applyAlignment="1">
      <alignment horizontal="center" vertical="center" wrapText="1"/>
    </xf>
    <xf numFmtId="0" fontId="106" fillId="11" borderId="14" xfId="0" applyFont="1" applyFill="1" applyBorder="1" applyAlignment="1">
      <alignment horizontal="center" vertical="center" wrapText="1"/>
    </xf>
    <xf numFmtId="0" fontId="106" fillId="11" borderId="13"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109" fillId="12" borderId="10" xfId="0" applyFont="1" applyFill="1" applyBorder="1" applyAlignment="1">
      <alignment horizontal="center" vertical="center" wrapText="1"/>
    </xf>
    <xf numFmtId="0" fontId="109" fillId="12" borderId="0" xfId="0" applyFont="1" applyFill="1" applyAlignment="1">
      <alignment horizontal="center" vertical="center" wrapText="1"/>
    </xf>
    <xf numFmtId="0" fontId="109" fillId="12" borderId="28" xfId="0" applyFont="1" applyFill="1" applyBorder="1" applyAlignment="1">
      <alignment horizontal="center" vertical="center" wrapText="1"/>
    </xf>
    <xf numFmtId="0" fontId="109" fillId="14" borderId="10" xfId="0" applyFont="1" applyFill="1" applyBorder="1" applyAlignment="1">
      <alignment horizontal="center" vertical="center" wrapText="1"/>
    </xf>
    <xf numFmtId="0" fontId="109" fillId="14" borderId="0" xfId="0" applyFont="1" applyFill="1" applyAlignment="1">
      <alignment horizontal="center" vertical="center" wrapText="1"/>
    </xf>
    <xf numFmtId="0" fontId="109" fillId="14" borderId="28" xfId="0" applyFont="1" applyFill="1" applyBorder="1" applyAlignment="1">
      <alignment horizontal="center" vertical="center" wrapText="1"/>
    </xf>
    <xf numFmtId="0" fontId="24" fillId="10" borderId="3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39" fontId="57" fillId="12" borderId="16" xfId="56" applyNumberFormat="1" applyFont="1" applyFill="1" applyBorder="1" applyAlignment="1" applyProtection="1">
      <alignment horizontal="center" vertical="center" wrapText="1"/>
    </xf>
    <xf numFmtId="39" fontId="57" fillId="12" borderId="17" xfId="56" applyNumberFormat="1" applyFont="1" applyFill="1" applyBorder="1" applyAlignment="1" applyProtection="1">
      <alignment horizontal="center" vertical="center" wrapText="1"/>
    </xf>
    <xf numFmtId="39" fontId="57" fillId="12" borderId="11" xfId="56" applyNumberFormat="1" applyFont="1" applyFill="1" applyBorder="1" applyAlignment="1" applyProtection="1">
      <alignment horizontal="center" vertical="center" wrapText="1"/>
    </xf>
    <xf numFmtId="39" fontId="57" fillId="12" borderId="2" xfId="56" applyNumberFormat="1" applyFont="1" applyFill="1" applyBorder="1" applyAlignment="1" applyProtection="1">
      <alignment horizontal="center" vertical="center"/>
    </xf>
    <xf numFmtId="39" fontId="57" fillId="12" borderId="14" xfId="56" applyNumberFormat="1" applyFont="1" applyFill="1" applyBorder="1" applyAlignment="1" applyProtection="1">
      <alignment horizontal="center" vertical="center"/>
    </xf>
    <xf numFmtId="39" fontId="57" fillId="12" borderId="13" xfId="56" applyNumberFormat="1" applyFont="1" applyFill="1" applyBorder="1" applyAlignment="1" applyProtection="1">
      <alignment horizontal="center" vertical="center"/>
    </xf>
    <xf numFmtId="0" fontId="33" fillId="0" borderId="7" xfId="18" applyFont="1" applyBorder="1" applyAlignment="1">
      <alignment horizontal="center" wrapText="1"/>
    </xf>
    <xf numFmtId="0" fontId="33" fillId="0" borderId="8" xfId="18" applyFont="1" applyBorder="1" applyAlignment="1">
      <alignment horizontal="center" wrapText="1"/>
    </xf>
    <xf numFmtId="0" fontId="33" fillId="0" borderId="9" xfId="18" applyFont="1" applyBorder="1" applyAlignment="1">
      <alignment horizontal="center" wrapText="1"/>
    </xf>
    <xf numFmtId="0" fontId="62" fillId="21" borderId="1" xfId="0" applyFont="1" applyFill="1" applyBorder="1" applyAlignment="1">
      <alignment horizontal="center" wrapText="1"/>
    </xf>
    <xf numFmtId="0" fontId="93" fillId="0" borderId="0" xfId="18" applyFont="1" applyAlignment="1">
      <alignment horizontal="center" vertical="center" wrapText="1"/>
    </xf>
    <xf numFmtId="0" fontId="84" fillId="0" borderId="16" xfId="18" applyFont="1" applyBorder="1" applyAlignment="1">
      <alignment horizontal="center" vertical="center" wrapText="1"/>
    </xf>
    <xf numFmtId="0" fontId="84" fillId="0" borderId="11" xfId="18" applyFont="1" applyBorder="1" applyAlignment="1">
      <alignment horizontal="center" vertical="center" wrapText="1"/>
    </xf>
    <xf numFmtId="0" fontId="84" fillId="0" borderId="17" xfId="18" applyFont="1" applyBorder="1" applyAlignment="1">
      <alignment horizontal="center" vertical="center" wrapText="1"/>
    </xf>
    <xf numFmtId="0" fontId="84" fillId="0" borderId="1" xfId="18" applyFont="1" applyBorder="1" applyAlignment="1">
      <alignment horizontal="center" vertical="center" wrapText="1"/>
    </xf>
    <xf numFmtId="0" fontId="84" fillId="0" borderId="1" xfId="18" applyFont="1" applyBorder="1" applyAlignment="1">
      <alignment horizontal="center" vertical="center"/>
    </xf>
    <xf numFmtId="0" fontId="84" fillId="0" borderId="2" xfId="18" applyFont="1" applyBorder="1" applyAlignment="1">
      <alignment horizontal="center" vertical="center" wrapText="1"/>
    </xf>
    <xf numFmtId="0" fontId="84" fillId="0" borderId="14" xfId="18" applyFont="1" applyBorder="1" applyAlignment="1">
      <alignment horizontal="center" vertical="center" wrapText="1"/>
    </xf>
    <xf numFmtId="0" fontId="84" fillId="0" borderId="13" xfId="18" applyFont="1" applyBorder="1" applyAlignment="1">
      <alignment horizontal="center" vertical="center" wrapText="1"/>
    </xf>
    <xf numFmtId="0" fontId="65" fillId="8" borderId="29" xfId="18" applyFont="1" applyFill="1" applyBorder="1" applyAlignment="1">
      <alignment horizontal="center" vertical="center"/>
    </xf>
    <xf numFmtId="0" fontId="65" fillId="8" borderId="30" xfId="18" applyFont="1" applyFill="1" applyBorder="1" applyAlignment="1">
      <alignment horizontal="center" vertical="center"/>
    </xf>
    <xf numFmtId="0" fontId="65" fillId="8" borderId="31" xfId="18" applyFont="1" applyFill="1" applyBorder="1" applyAlignment="1">
      <alignment horizontal="center" vertical="center"/>
    </xf>
    <xf numFmtId="0" fontId="82" fillId="0" borderId="0" xfId="18" applyFont="1" applyAlignment="1">
      <alignment horizontal="center" vertical="center"/>
    </xf>
    <xf numFmtId="0" fontId="84" fillId="2" borderId="16" xfId="18" applyFont="1" applyFill="1" applyBorder="1" applyAlignment="1">
      <alignment horizontal="center" vertical="center" wrapText="1"/>
    </xf>
    <xf numFmtId="0" fontId="84" fillId="2" borderId="17" xfId="18" applyFont="1" applyFill="1" applyBorder="1" applyAlignment="1">
      <alignment horizontal="center" vertical="center" wrapText="1"/>
    </xf>
    <xf numFmtId="0" fontId="84" fillId="2" borderId="11" xfId="18" applyFont="1" applyFill="1" applyBorder="1" applyAlignment="1">
      <alignment horizontal="center" vertical="center" wrapText="1"/>
    </xf>
    <xf numFmtId="0" fontId="82" fillId="0" borderId="10" xfId="18" applyFont="1" applyBorder="1" applyAlignment="1">
      <alignment horizontal="center" vertical="center"/>
    </xf>
    <xf numFmtId="0" fontId="88" fillId="10" borderId="2" xfId="0" applyFont="1" applyFill="1" applyBorder="1" applyAlignment="1">
      <alignment horizontal="center" vertical="center" wrapText="1"/>
    </xf>
    <xf numFmtId="0" fontId="88" fillId="10" borderId="13" xfId="0" applyFont="1" applyFill="1" applyBorder="1" applyAlignment="1">
      <alignment horizontal="center" vertical="center" wrapText="1"/>
    </xf>
    <xf numFmtId="0" fontId="88" fillId="10" borderId="1" xfId="0" applyFont="1" applyFill="1" applyBorder="1" applyAlignment="1">
      <alignment horizontal="center" vertical="center" wrapText="1"/>
    </xf>
  </cellXfs>
  <cellStyles count="110">
    <cellStyle name="_Table 2 2" xfId="91" xr:uid="{06F4BA95-294C-4007-B7DF-7668802458AF}"/>
    <cellStyle name="Hiperlink" xfId="109" builtinId="8"/>
    <cellStyle name="Hiperlink 2" xfId="107" xr:uid="{AE56783D-6364-4E12-AC7D-2B09E709BED3}"/>
    <cellStyle name="Hyperlink_BD-cidades" xfId="1" xr:uid="{00000000-0005-0000-0000-000000000000}"/>
    <cellStyle name="Moeda" xfId="2" builtinId="4"/>
    <cellStyle name="Moeda 2" xfId="3" xr:uid="{00000000-0005-0000-0000-000002000000}"/>
    <cellStyle name="Moeda 2 2" xfId="4" xr:uid="{00000000-0005-0000-0000-000003000000}"/>
    <cellStyle name="Moeda 2 2 2" xfId="5" xr:uid="{00000000-0005-0000-0000-000004000000}"/>
    <cellStyle name="Moeda 2 3" xfId="6" xr:uid="{00000000-0005-0000-0000-000005000000}"/>
    <cellStyle name="Moeda 2 3 2" xfId="7" xr:uid="{00000000-0005-0000-0000-000006000000}"/>
    <cellStyle name="Moeda 2 4" xfId="8" xr:uid="{00000000-0005-0000-0000-000007000000}"/>
    <cellStyle name="Moeda 2 5" xfId="96" xr:uid="{A89B7B98-2F3A-4DE3-AC60-069C39EB892B}"/>
    <cellStyle name="Moeda 3" xfId="9" xr:uid="{00000000-0005-0000-0000-000008000000}"/>
    <cellStyle name="Moeda 3 2" xfId="10" xr:uid="{00000000-0005-0000-0000-000009000000}"/>
    <cellStyle name="Moeda 4" xfId="11" xr:uid="{00000000-0005-0000-0000-00000A000000}"/>
    <cellStyle name="Moeda 4 2" xfId="12" xr:uid="{00000000-0005-0000-0000-00000B000000}"/>
    <cellStyle name="Moeda 5" xfId="13" xr:uid="{00000000-0005-0000-0000-00000C000000}"/>
    <cellStyle name="Moeda 5 2" xfId="14" xr:uid="{00000000-0005-0000-0000-00000D000000}"/>
    <cellStyle name="Moeda 6" xfId="15" xr:uid="{00000000-0005-0000-0000-00000E000000}"/>
    <cellStyle name="Moeda 7" xfId="80" xr:uid="{1B2C1399-A584-4104-AC78-6305B9FC0FEA}"/>
    <cellStyle name="Moeda 7 2" xfId="103" xr:uid="{CBF1613F-D8A3-43C9-9DE8-25E840E11BB3}"/>
    <cellStyle name="Neutro 2" xfId="82" xr:uid="{9EDD4546-05DB-47AE-8459-16A0C1093B0F}"/>
    <cellStyle name="Normal" xfId="0" builtinId="0"/>
    <cellStyle name="Normal 2" xfId="16" xr:uid="{00000000-0005-0000-0000-000010000000}"/>
    <cellStyle name="Normal 2 2" xfId="17" xr:uid="{00000000-0005-0000-0000-000011000000}"/>
    <cellStyle name="Normal 2 2 2" xfId="18" xr:uid="{00000000-0005-0000-0000-000012000000}"/>
    <cellStyle name="Normal 2 2 2 2" xfId="19" xr:uid="{00000000-0005-0000-0000-000013000000}"/>
    <cellStyle name="Normal 2 2 3" xfId="20" xr:uid="{00000000-0005-0000-0000-000014000000}"/>
    <cellStyle name="Normal 2 2 4" xfId="98" xr:uid="{6E3485E1-938F-4C9D-A20D-9413C736F693}"/>
    <cellStyle name="Normal 2 2 4 2" xfId="99" xr:uid="{EA2002D1-183A-4FD7-A133-51CD1BE43CAC}"/>
    <cellStyle name="Normal 2 3" xfId="21" xr:uid="{00000000-0005-0000-0000-000015000000}"/>
    <cellStyle name="Normal 2 3 2" xfId="93" xr:uid="{D5C8B879-F09D-4BE4-95BD-EB38D2C279BB}"/>
    <cellStyle name="Normal 2 4" xfId="85" xr:uid="{84AED1EB-6FCA-451F-BD2F-45AF3DB7C581}"/>
    <cellStyle name="Normal 3" xfId="22" xr:uid="{00000000-0005-0000-0000-000016000000}"/>
    <cellStyle name="Normal 3 2" xfId="23" xr:uid="{00000000-0005-0000-0000-000017000000}"/>
    <cellStyle name="Normal 3 2 2" xfId="24" xr:uid="{00000000-0005-0000-0000-000018000000}"/>
    <cellStyle name="Normal 3 2 3" xfId="94" xr:uid="{88B68038-3C6C-46DE-917B-E833BCA0499A}"/>
    <cellStyle name="Normal 3 3" xfId="25" xr:uid="{00000000-0005-0000-0000-000019000000}"/>
    <cellStyle name="Normal 3 4" xfId="83" xr:uid="{2C4A18C8-0F93-45B9-8780-6649E4820FE3}"/>
    <cellStyle name="Normal 4" xfId="26" xr:uid="{00000000-0005-0000-0000-00001A000000}"/>
    <cellStyle name="Normal 4 2" xfId="27" xr:uid="{00000000-0005-0000-0000-00001B000000}"/>
    <cellStyle name="Normal 4 2 2" xfId="89" xr:uid="{63CD4585-1A5D-4E35-B7A9-88079F5D3A18}"/>
    <cellStyle name="Normal 5" xfId="28" xr:uid="{00000000-0005-0000-0000-00001C000000}"/>
    <cellStyle name="Normal 6" xfId="29" xr:uid="{00000000-0005-0000-0000-00001D000000}"/>
    <cellStyle name="Normal 6 2" xfId="88" xr:uid="{4CA79F1D-4AA7-42AB-97C7-67C344941A59}"/>
    <cellStyle name="Normal 6 2 2" xfId="105" xr:uid="{5E1659B0-D26F-41F8-AEAE-F1025FF111AB}"/>
    <cellStyle name="Normal 7" xfId="78" xr:uid="{B4542951-856F-44C4-AE27-9AAE4AD5D6F6}"/>
    <cellStyle name="Normal 7 2" xfId="100" xr:uid="{CAA324DF-C5CC-4918-9A03-14B2BF9D45C7}"/>
    <cellStyle name="Normal_MFINV331_abr2005" xfId="104" xr:uid="{A6B333CC-3C93-4732-81F4-98802F405D70}"/>
    <cellStyle name="Percent 2 2" xfId="90" xr:uid="{2DEC3A83-C001-4008-943A-12B2006A88B5}"/>
    <cellStyle name="Porcentagem" xfId="30" builtinId="5"/>
    <cellStyle name="Porcentagem 10" xfId="31" xr:uid="{00000000-0005-0000-0000-00001F000000}"/>
    <cellStyle name="Porcentagem 11" xfId="79" xr:uid="{380C04AF-D328-415F-B657-A043746B8BFB}"/>
    <cellStyle name="Porcentagem 11 2" xfId="102" xr:uid="{398D226A-047F-4964-BF9E-361178069013}"/>
    <cellStyle name="Porcentagem 2" xfId="32" xr:uid="{00000000-0005-0000-0000-000020000000}"/>
    <cellStyle name="Porcentagem 2 2" xfId="33" xr:uid="{00000000-0005-0000-0000-000021000000}"/>
    <cellStyle name="Porcentagem 2 2 2" xfId="34" xr:uid="{00000000-0005-0000-0000-000022000000}"/>
    <cellStyle name="Porcentagem 2 2 3" xfId="84" xr:uid="{63902E44-B05A-4C61-97F7-0C34C60991F2}"/>
    <cellStyle name="Porcentagem 2 3" xfId="35" xr:uid="{00000000-0005-0000-0000-000023000000}"/>
    <cellStyle name="Porcentagem 2 4" xfId="87" xr:uid="{36201748-7EC7-4506-9DE3-589B06590691}"/>
    <cellStyle name="Porcentagem 3" xfId="36" xr:uid="{00000000-0005-0000-0000-000024000000}"/>
    <cellStyle name="Porcentagem 3 2" xfId="37" xr:uid="{00000000-0005-0000-0000-000025000000}"/>
    <cellStyle name="Porcentagem 3 2 2" xfId="38" xr:uid="{00000000-0005-0000-0000-000026000000}"/>
    <cellStyle name="Porcentagem 3 3" xfId="39" xr:uid="{00000000-0005-0000-0000-000027000000}"/>
    <cellStyle name="Porcentagem 4" xfId="40" xr:uid="{00000000-0005-0000-0000-000028000000}"/>
    <cellStyle name="Porcentagem 4 2" xfId="41" xr:uid="{00000000-0005-0000-0000-000029000000}"/>
    <cellStyle name="Porcentagem 5" xfId="42" xr:uid="{00000000-0005-0000-0000-00002A000000}"/>
    <cellStyle name="Porcentagem 5 2" xfId="43" xr:uid="{00000000-0005-0000-0000-00002B000000}"/>
    <cellStyle name="Porcentagem 5 2 2" xfId="44" xr:uid="{00000000-0005-0000-0000-00002C000000}"/>
    <cellStyle name="Porcentagem 5 3" xfId="45" xr:uid="{00000000-0005-0000-0000-00002D000000}"/>
    <cellStyle name="Porcentagem 5 4" xfId="92" xr:uid="{E6044F98-9E48-4F08-9513-3F7088CD2C1D}"/>
    <cellStyle name="Porcentagem 5 4 2" xfId="106" xr:uid="{A89CC5C6-C25A-4590-B386-7AD314266591}"/>
    <cellStyle name="Porcentagem 6" xfId="46" xr:uid="{00000000-0005-0000-0000-00002E000000}"/>
    <cellStyle name="Porcentagem 6 2" xfId="47" xr:uid="{00000000-0005-0000-0000-00002F000000}"/>
    <cellStyle name="Porcentagem 7" xfId="48" xr:uid="{00000000-0005-0000-0000-000030000000}"/>
    <cellStyle name="Porcentagem 7 2" xfId="49" xr:uid="{00000000-0005-0000-0000-000031000000}"/>
    <cellStyle name="Porcentagem 8" xfId="50" xr:uid="{00000000-0005-0000-0000-000032000000}"/>
    <cellStyle name="Porcentagem 8 2" xfId="51" xr:uid="{00000000-0005-0000-0000-000033000000}"/>
    <cellStyle name="Porcentagem 9" xfId="52" xr:uid="{00000000-0005-0000-0000-000034000000}"/>
    <cellStyle name="Porcentagem 9 2" xfId="53" xr:uid="{00000000-0005-0000-0000-000035000000}"/>
    <cellStyle name="Separador de milhares 3" xfId="86" xr:uid="{7E986A29-8345-4D20-887E-3E7D86FC4455}"/>
    <cellStyle name="Vírgula" xfId="54" builtinId="3"/>
    <cellStyle name="Vírgula 10" xfId="55" xr:uid="{00000000-0005-0000-0000-000037000000}"/>
    <cellStyle name="Vírgula 11" xfId="81" xr:uid="{A2CBD1E2-0159-4850-83D1-DDC163FB61EA}"/>
    <cellStyle name="Vírgula 11 2" xfId="101" xr:uid="{0257C00F-F8D8-4DCD-8CE0-A9BD53E28F14}"/>
    <cellStyle name="Vírgula 2" xfId="56" xr:uid="{00000000-0005-0000-0000-000038000000}"/>
    <cellStyle name="Vírgula 2 2" xfId="57" xr:uid="{00000000-0005-0000-0000-000039000000}"/>
    <cellStyle name="Vírgula 2 2 2" xfId="58" xr:uid="{00000000-0005-0000-0000-00003A000000}"/>
    <cellStyle name="Vírgula 2 3" xfId="59" xr:uid="{00000000-0005-0000-0000-00003B000000}"/>
    <cellStyle name="Vírgula 2 4" xfId="97" xr:uid="{BD815A87-AA49-4ECE-98B3-2E3020FDA8A3}"/>
    <cellStyle name="Vírgula 3" xfId="60" xr:uid="{00000000-0005-0000-0000-00003C000000}"/>
    <cellStyle name="Vírgula 3 2" xfId="61" xr:uid="{00000000-0005-0000-0000-00003D000000}"/>
    <cellStyle name="Vírgula 4" xfId="62" xr:uid="{00000000-0005-0000-0000-00003E000000}"/>
    <cellStyle name="Vírgula 4 2" xfId="63" xr:uid="{00000000-0005-0000-0000-00003F000000}"/>
    <cellStyle name="Vírgula 5" xfId="64" xr:uid="{00000000-0005-0000-0000-000040000000}"/>
    <cellStyle name="Vírgula 5 2" xfId="65" xr:uid="{00000000-0005-0000-0000-000041000000}"/>
    <cellStyle name="Vírgula 5 2 2" xfId="66" xr:uid="{00000000-0005-0000-0000-000042000000}"/>
    <cellStyle name="Vírgula 5 3" xfId="67" xr:uid="{00000000-0005-0000-0000-000043000000}"/>
    <cellStyle name="Vírgula 5 3 2" xfId="68" xr:uid="{00000000-0005-0000-0000-000044000000}"/>
    <cellStyle name="Vírgula 5 4" xfId="69" xr:uid="{00000000-0005-0000-0000-000045000000}"/>
    <cellStyle name="Vírgula 5 5" xfId="95" xr:uid="{447EC641-960C-4E8F-8752-12BD4F09A255}"/>
    <cellStyle name="Vírgula 5 5 2" xfId="108" xr:uid="{65F920F1-0A82-4A0D-AE88-F955433FA874}"/>
    <cellStyle name="Vírgula 6" xfId="70" xr:uid="{00000000-0005-0000-0000-000046000000}"/>
    <cellStyle name="Vírgula 6 2" xfId="71" xr:uid="{00000000-0005-0000-0000-000047000000}"/>
    <cellStyle name="Vírgula 7" xfId="72" xr:uid="{00000000-0005-0000-0000-000048000000}"/>
    <cellStyle name="Vírgula 7 2" xfId="73" xr:uid="{00000000-0005-0000-0000-000049000000}"/>
    <cellStyle name="Vírgula 8" xfId="74" xr:uid="{00000000-0005-0000-0000-00004A000000}"/>
    <cellStyle name="Vírgula 8 2" xfId="75" xr:uid="{00000000-0005-0000-0000-00004B000000}"/>
    <cellStyle name="Vírgula 9" xfId="76" xr:uid="{00000000-0005-0000-0000-00004C000000}"/>
    <cellStyle name="Vírgula 9 2" xfId="77" xr:uid="{00000000-0005-0000-0000-00004D000000}"/>
  </cellStyles>
  <dxfs count="733">
    <dxf>
      <fill>
        <patternFill>
          <bgColor theme="8" tint="0.39994506668294322"/>
        </patternFill>
      </fill>
    </dxf>
    <dxf>
      <fill>
        <patternFill>
          <bgColor theme="5"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
      <fill>
        <patternFill>
          <bgColor theme="5" tint="0.59996337778862885"/>
        </patternFill>
      </fill>
    </dxf>
    <dxf>
      <fill>
        <patternFill>
          <bgColor theme="6" tint="0.59996337778862885"/>
        </patternFill>
      </fill>
    </dxf>
    <dxf>
      <fill>
        <patternFill>
          <bgColor theme="7" tint="0.59996337778862885"/>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7" tint="0.79998168889431442"/>
        </patternFill>
      </fill>
    </dxf>
    <dxf>
      <font>
        <color rgb="FFC00000"/>
      </font>
    </dxf>
    <dxf>
      <font>
        <color rgb="FFC00000"/>
      </font>
    </dxf>
    <dxf>
      <font>
        <color rgb="FFC00000"/>
      </font>
    </dxf>
    <dxf>
      <fill>
        <patternFill>
          <bgColor indexed="44"/>
        </patternFill>
      </fill>
    </dxf>
    <dxf>
      <fill>
        <patternFill>
          <bgColor theme="9" tint="0.79998168889431442"/>
        </patternFill>
      </fill>
    </dxf>
    <dxf>
      <fill>
        <patternFill>
          <bgColor theme="9" tint="0.79998168889431442"/>
        </patternFill>
      </fill>
    </dxf>
    <dxf>
      <font>
        <u/>
        <color rgb="FFC00000"/>
      </font>
      <fill>
        <patternFill patternType="none">
          <bgColor auto="1"/>
        </patternFill>
      </fill>
    </dxf>
    <dxf>
      <font>
        <u/>
        <color rgb="FFC00000"/>
      </font>
      <fill>
        <patternFill patternType="none">
          <bgColor auto="1"/>
        </patternFill>
      </fill>
    </dxf>
    <dxf>
      <font>
        <u/>
        <color rgb="FFC00000"/>
      </font>
      <fill>
        <patternFill patternType="none">
          <bgColor auto="1"/>
        </patternFill>
      </fill>
    </dxf>
    <dxf>
      <font>
        <u/>
        <color rgb="FFC00000"/>
      </font>
      <fill>
        <patternFill patternType="none">
          <bgColor auto="1"/>
        </patternFill>
      </fill>
    </dxf>
    <dxf>
      <font>
        <color theme="2"/>
      </font>
    </dxf>
    <dxf>
      <font>
        <color rgb="FFC00000"/>
      </font>
    </dxf>
    <dxf>
      <font>
        <color rgb="FFC00000"/>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font>
      <fill>
        <patternFill>
          <bgColor rgb="FFFF0000"/>
        </patternFill>
      </fill>
    </dxf>
    <dxf>
      <font>
        <b/>
        <i val="0"/>
        <color auto="1"/>
      </font>
      <fill>
        <patternFill>
          <bgColor theme="6" tint="0.39994506668294322"/>
        </patternFill>
      </fill>
    </dxf>
    <dxf>
      <font>
        <b/>
        <i val="0"/>
      </font>
      <fill>
        <patternFill>
          <bgColor rgb="FFFF0000"/>
        </patternFill>
      </fill>
    </dxf>
    <dxf>
      <font>
        <b/>
        <i val="0"/>
        <color auto="1"/>
      </font>
      <fill>
        <patternFill>
          <bgColor theme="6" tint="0.39994506668294322"/>
        </patternFill>
      </fill>
    </dxf>
    <dxf>
      <font>
        <b/>
        <i val="0"/>
      </font>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colors>
    <mruColors>
      <color rgb="FFFFF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20212588421791"/>
          <c:y val="4.6405515924929447E-2"/>
          <c:w val="0.66277271045817254"/>
          <c:h val="0.75272120645936202"/>
        </c:manualLayout>
      </c:layout>
      <c:scatterChart>
        <c:scatterStyle val="lineMarker"/>
        <c:varyColors val="0"/>
        <c:ser>
          <c:idx val="0"/>
          <c:order val="0"/>
          <c:tx>
            <c:strRef>
              <c:f>'Ref_A.XV. RPS (Simplificado)'!$Q$19:$Q$21</c:f>
              <c:strCache>
                <c:ptCount val="3"/>
                <c:pt idx="0">
                  <c:v>Nível de Segurança 95%</c:v>
                </c:pt>
              </c:strCache>
            </c:strRef>
          </c:tx>
          <c:spPr>
            <a:ln w="28575">
              <a:noFill/>
            </a:ln>
          </c:spPr>
          <c:xVal>
            <c:numRef>
              <c:f>'A.XV. RPS (Simplificado)'!#REF!</c:f>
              <c:numCache>
                <c:formatCode>General</c:formatCode>
                <c:ptCount val="1"/>
                <c:pt idx="0">
                  <c:v>1</c:v>
                </c:pt>
              </c:numCache>
            </c:numRef>
          </c:xVal>
          <c:yVal>
            <c:numRef>
              <c:f>'Ref_A.XV. RPS (Simplificado)'!$T$19:$T$21</c:f>
              <c:numCache>
                <c:formatCode>0.000</c:formatCode>
                <c:ptCount val="3"/>
                <c:pt idx="0">
                  <c:v>5.0200000000000002E-2</c:v>
                </c:pt>
                <c:pt idx="1">
                  <c:v>7.3099999999999998E-2</c:v>
                </c:pt>
                <c:pt idx="2">
                  <c:v>0.12</c:v>
                </c:pt>
              </c:numCache>
            </c:numRef>
          </c:yVal>
          <c:smooth val="0"/>
          <c:extLst>
            <c:ext xmlns:c16="http://schemas.microsoft.com/office/drawing/2014/chart" uri="{C3380CC4-5D6E-409C-BE32-E72D297353CC}">
              <c16:uniqueId val="{00000000-6238-4186-A82D-557999DEF913}"/>
            </c:ext>
          </c:extLst>
        </c:ser>
        <c:ser>
          <c:idx val="1"/>
          <c:order val="1"/>
          <c:tx>
            <c:strRef>
              <c:f>'Ref_A.XV. RPS (Simplificado)'!$Q$22:$Q$24</c:f>
              <c:strCache>
                <c:ptCount val="3"/>
                <c:pt idx="0">
                  <c:v>Nível de Segurança 90%</c:v>
                </c:pt>
              </c:strCache>
            </c:strRef>
          </c:tx>
          <c:spPr>
            <a:ln w="28575">
              <a:noFill/>
            </a:ln>
          </c:spPr>
          <c:xVal>
            <c:numRef>
              <c:f>'A.XV. RPS (Simplificado)'!#REF!</c:f>
              <c:numCache>
                <c:formatCode>General</c:formatCode>
                <c:ptCount val="1"/>
                <c:pt idx="0">
                  <c:v>1</c:v>
                </c:pt>
              </c:numCache>
            </c:numRef>
          </c:xVal>
          <c:yVal>
            <c:numRef>
              <c:f>'Ref_A.XV. RPS (Simplificado)'!$T$22:$T$24</c:f>
              <c:numCache>
                <c:formatCode>0.000</c:formatCode>
                <c:ptCount val="3"/>
                <c:pt idx="0">
                  <c:v>3.9300000000000002E-2</c:v>
                </c:pt>
                <c:pt idx="1">
                  <c:v>5.7099999999999998E-2</c:v>
                </c:pt>
                <c:pt idx="2">
                  <c:v>9.3799999999999994E-2</c:v>
                </c:pt>
              </c:numCache>
            </c:numRef>
          </c:yVal>
          <c:smooth val="0"/>
          <c:extLst>
            <c:ext xmlns:c16="http://schemas.microsoft.com/office/drawing/2014/chart" uri="{C3380CC4-5D6E-409C-BE32-E72D297353CC}">
              <c16:uniqueId val="{00000001-6238-4186-A82D-557999DEF913}"/>
            </c:ext>
          </c:extLst>
        </c:ser>
        <c:ser>
          <c:idx val="3"/>
          <c:order val="2"/>
          <c:tx>
            <c:strRef>
              <c:f>'Ref_A.XV. RPS (Simplificado)'!$Q$25:$Q$27</c:f>
              <c:strCache>
                <c:ptCount val="3"/>
                <c:pt idx="0">
                  <c:v>Nível de Segurança 85%</c:v>
                </c:pt>
              </c:strCache>
            </c:strRef>
          </c:tx>
          <c:spPr>
            <a:ln w="28575">
              <a:noFill/>
            </a:ln>
          </c:spPr>
          <c:xVal>
            <c:numRef>
              <c:f>'A.XV. RPS (Simplificado)'!#REF!</c:f>
              <c:numCache>
                <c:formatCode>General</c:formatCode>
                <c:ptCount val="1"/>
                <c:pt idx="0">
                  <c:v>1</c:v>
                </c:pt>
              </c:numCache>
            </c:numRef>
          </c:xVal>
          <c:yVal>
            <c:numRef>
              <c:f>'Ref_A.XV. RPS (Simplificado)'!$T$25:$T$27</c:f>
              <c:numCache>
                <c:formatCode>0.000</c:formatCode>
                <c:ptCount val="3"/>
                <c:pt idx="0">
                  <c:v>3.15E-2</c:v>
                </c:pt>
                <c:pt idx="1">
                  <c:v>4.58E-2</c:v>
                </c:pt>
                <c:pt idx="2">
                  <c:v>7.5300000000000006E-2</c:v>
                </c:pt>
              </c:numCache>
            </c:numRef>
          </c:yVal>
          <c:smooth val="0"/>
          <c:extLst>
            <c:ext xmlns:c16="http://schemas.microsoft.com/office/drawing/2014/chart" uri="{C3380CC4-5D6E-409C-BE32-E72D297353CC}">
              <c16:uniqueId val="{00000002-6238-4186-A82D-557999DEF913}"/>
            </c:ext>
          </c:extLst>
        </c:ser>
        <c:dLbls>
          <c:showLegendKey val="0"/>
          <c:showVal val="0"/>
          <c:showCatName val="0"/>
          <c:showSerName val="0"/>
          <c:showPercent val="0"/>
          <c:showBubbleSize val="0"/>
        </c:dLbls>
        <c:axId val="1388995711"/>
        <c:axId val="1"/>
      </c:scatterChart>
      <c:valAx>
        <c:axId val="1388995711"/>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pt-BR"/>
                  <a:t>Risco a ser assumido (%)</a:t>
                </a:r>
              </a:p>
            </c:rich>
          </c:tx>
          <c:layout>
            <c:manualLayout>
              <c:xMode val="edge"/>
              <c:yMode val="edge"/>
              <c:x val="0.37509711286089237"/>
              <c:y val="0.90300972857434736"/>
            </c:manualLayout>
          </c:layout>
          <c:overlay val="0"/>
        </c:title>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
        <c:crosses val="autoZero"/>
        <c:crossBetween val="midCat"/>
      </c:valAx>
      <c:valAx>
        <c:axId val="1"/>
        <c:scaling>
          <c:orientation val="minMax"/>
          <c:max val="0.15000000000000002"/>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pt-BR"/>
                  <a:t>Coeficiente do RPS (Ɣ)</a:t>
                </a:r>
              </a:p>
            </c:rich>
          </c:tx>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388995711"/>
        <c:crosses val="autoZero"/>
        <c:crossBetween val="midCat"/>
      </c:valAx>
    </c:plotArea>
    <c:legend>
      <c:legendPos val="r"/>
      <c:layout>
        <c:manualLayout>
          <c:xMode val="edge"/>
          <c:yMode val="edge"/>
          <c:x val="0.8072335168630238"/>
          <c:y val="0.3090222704197903"/>
          <c:w val="0.18381781224715332"/>
          <c:h val="0.37146400113159511"/>
        </c:manualLayout>
      </c:layout>
      <c:overlay val="0"/>
      <c:txPr>
        <a:bodyPr/>
        <a:lstStyle/>
        <a:p>
          <a:pPr>
            <a:defRPr sz="305" b="0" i="0" u="none" strike="noStrike" baseline="0">
              <a:solidFill>
                <a:srgbClr val="000000"/>
              </a:solidFill>
              <a:latin typeface="Calibri"/>
              <a:ea typeface="Calibri"/>
              <a:cs typeface="Calibri"/>
            </a:defRPr>
          </a:pPr>
          <a:endParaRPr lang="pt-B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trlProps/ctrlProp1.xml><?xml version="1.0" encoding="utf-8"?>
<formControlPr xmlns="http://schemas.microsoft.com/office/spreadsheetml/2009/9/main" objectType="Drop" dropLines="3" dropStyle="combo" dx="22" fmlaLink="$T$10" fmlaRange="$Q$13:$Q$15" sel="2" val="0"/>
</file>

<file path=xl/ctrlProps/ctrlProp10.xml><?xml version="1.0" encoding="utf-8"?>
<formControlPr xmlns="http://schemas.microsoft.com/office/spreadsheetml/2009/9/main" objectType="Drop" dropStyle="combo" dx="22" fmlaLink="$D$116" fmlaRange="$D$112:$D$115" noThreeD="1" sel="1" val="0"/>
</file>

<file path=xl/ctrlProps/ctrlProp11.xml><?xml version="1.0" encoding="utf-8"?>
<formControlPr xmlns="http://schemas.microsoft.com/office/spreadsheetml/2009/9/main" objectType="Drop" dropStyle="combo" dx="22" fmlaLink="$D$128" fmlaRange="$D$124:$D$127" noThreeD="1" sel="2" val="0"/>
</file>

<file path=xl/ctrlProps/ctrlProp12.xml><?xml version="1.0" encoding="utf-8"?>
<formControlPr xmlns="http://schemas.microsoft.com/office/spreadsheetml/2009/9/main" objectType="Drop" dropStyle="combo" dx="22" fmlaLink="$D$134" fmlaRange="$D$130:$D$133" noThreeD="1" sel="2" val="0"/>
</file>

<file path=xl/ctrlProps/ctrlProp13.xml><?xml version="1.0" encoding="utf-8"?>
<formControlPr xmlns="http://schemas.microsoft.com/office/spreadsheetml/2009/9/main" objectType="Drop" dropStyle="combo" dx="22" fmlaLink="$D$74" fmlaRange="$D$70:$D$73" noThreeD="1" sel="1" val="0"/>
</file>

<file path=xl/ctrlProps/ctrlProp14.xml><?xml version="1.0" encoding="utf-8"?>
<formControlPr xmlns="http://schemas.microsoft.com/office/spreadsheetml/2009/9/main" objectType="Drop" dropStyle="combo" dx="22" fmlaLink="$D$80" fmlaRange="$D$76:$D$79" noThreeD="1" sel="1" val="0"/>
</file>

<file path=xl/ctrlProps/ctrlProp15.xml><?xml version="1.0" encoding="utf-8"?>
<formControlPr xmlns="http://schemas.microsoft.com/office/spreadsheetml/2009/9/main" objectType="Drop" dropStyle="combo" dx="22" fmlaLink="$D$86" fmlaRange="$D$82:$D$85" noThreeD="1" sel="3" val="0"/>
</file>

<file path=xl/ctrlProps/ctrlProp16.xml><?xml version="1.0" encoding="utf-8"?>
<formControlPr xmlns="http://schemas.microsoft.com/office/spreadsheetml/2009/9/main" objectType="Drop" dropStyle="combo" dx="22" fmlaLink="$D$122" fmlaRange="$D$118:$D$121" noThreeD="1" sel="2" val="0"/>
</file>

<file path=xl/ctrlProps/ctrlProp17.xml><?xml version="1.0" encoding="utf-8"?>
<formControlPr xmlns="http://schemas.microsoft.com/office/spreadsheetml/2009/9/main" objectType="Drop" dropStyle="combo" dx="22" fmlaLink="$D$92" fmlaRange="$D$88:$D$91" noThreeD="1" sel="3" val="0"/>
</file>

<file path=xl/ctrlProps/ctrlProp18.xml><?xml version="1.0" encoding="utf-8"?>
<formControlPr xmlns="http://schemas.microsoft.com/office/spreadsheetml/2009/9/main" objectType="Drop" dropStyle="combo" dx="22" fmlaLink="$D$98" fmlaRange="$D$94:$D$97" noThreeD="1" sel="1" val="0"/>
</file>

<file path=xl/ctrlProps/ctrlProp19.xml><?xml version="1.0" encoding="utf-8"?>
<formControlPr xmlns="http://schemas.microsoft.com/office/spreadsheetml/2009/9/main" objectType="Drop" dropLines="4" dropStyle="combo" dx="22" fmlaLink="$L$23" fmlaRange="$H$27:$H$29" sel="1" val="0"/>
</file>

<file path=xl/ctrlProps/ctrlProp2.xml><?xml version="1.0" encoding="utf-8"?>
<formControlPr xmlns="http://schemas.microsoft.com/office/spreadsheetml/2009/9/main" objectType="Drop" dropStyle="combo" dx="22" fmlaLink="$D$38" fmlaRange="$D$34:$D$37" noThreeD="1" sel="2" val="0"/>
</file>

<file path=xl/ctrlProps/ctrlProp3.xml><?xml version="1.0" encoding="utf-8"?>
<formControlPr xmlns="http://schemas.microsoft.com/office/spreadsheetml/2009/9/main" objectType="Drop" dropStyle="combo" dx="22" fmlaLink="$D$44" fmlaRange="$D$40:$D$43" noThreeD="1" sel="2" val="0"/>
</file>

<file path=xl/ctrlProps/ctrlProp4.xml><?xml version="1.0" encoding="utf-8"?>
<formControlPr xmlns="http://schemas.microsoft.com/office/spreadsheetml/2009/9/main" objectType="Drop" dropStyle="combo" dx="22" fmlaLink="$D$50" fmlaRange="$D$46:$D$49" noThreeD="1" sel="1" val="0"/>
</file>

<file path=xl/ctrlProps/ctrlProp5.xml><?xml version="1.0" encoding="utf-8"?>
<formControlPr xmlns="http://schemas.microsoft.com/office/spreadsheetml/2009/9/main" objectType="Drop" dropStyle="combo" dx="22" fmlaLink="$D$62" fmlaRange="$D$58:$D$61" noThreeD="1" sel="1" val="0"/>
</file>

<file path=xl/ctrlProps/ctrlProp6.xml><?xml version="1.0" encoding="utf-8"?>
<formControlPr xmlns="http://schemas.microsoft.com/office/spreadsheetml/2009/9/main" objectType="Drop" dropStyle="combo" dx="22" fmlaLink="$D$56" fmlaRange="$D$52:$D$55" noThreeD="1" sel="1" val="0"/>
</file>

<file path=xl/ctrlProps/ctrlProp7.xml><?xml version="1.0" encoding="utf-8"?>
<formControlPr xmlns="http://schemas.microsoft.com/office/spreadsheetml/2009/9/main" objectType="Drop" dropStyle="combo" dx="22" fmlaLink="$D$68" fmlaRange="$D$64:$D$67" noThreeD="1" sel="1" val="0"/>
</file>

<file path=xl/ctrlProps/ctrlProp8.xml><?xml version="1.0" encoding="utf-8"?>
<formControlPr xmlns="http://schemas.microsoft.com/office/spreadsheetml/2009/9/main" objectType="Drop" dropStyle="combo" dx="22" fmlaLink="$D$104" fmlaRange="$D$100:$D$103" noThreeD="1" sel="1" val="0"/>
</file>

<file path=xl/ctrlProps/ctrlProp9.xml><?xml version="1.0" encoding="utf-8"?>
<formControlPr xmlns="http://schemas.microsoft.com/office/spreadsheetml/2009/9/main" objectType="Drop" dropStyle="combo" dx="22" fmlaLink="$D$110" fmlaRange="$D$106:$D$10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14</xdr:col>
      <xdr:colOff>533400</xdr:colOff>
      <xdr:row>53</xdr:row>
      <xdr:rowOff>71559</xdr:rowOff>
    </xdr:from>
    <xdr:ext cx="4480330" cy="919041"/>
    <xdr:pic>
      <xdr:nvPicPr>
        <xdr:cNvPr id="4" name="Imagem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15640050" y="4053009"/>
          <a:ext cx="4480330" cy="91904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295275</xdr:colOff>
      <xdr:row>9</xdr:row>
      <xdr:rowOff>9525</xdr:rowOff>
    </xdr:from>
    <xdr:to>
      <xdr:col>8</xdr:col>
      <xdr:colOff>581025</xdr:colOff>
      <xdr:row>27</xdr:row>
      <xdr:rowOff>47625</xdr:rowOff>
    </xdr:to>
    <xdr:graphicFrame macro="">
      <xdr:nvGraphicFramePr>
        <xdr:cNvPr id="35335" name="Gráfico 1">
          <a:extLst>
            <a:ext uri="{FF2B5EF4-FFF2-40B4-BE49-F238E27FC236}">
              <a16:creationId xmlns:a16="http://schemas.microsoft.com/office/drawing/2014/main" id="{00000000-0008-0000-2A00-0000078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19050</xdr:rowOff>
        </xdr:from>
        <xdr:to>
          <xdr:col>1</xdr:col>
          <xdr:colOff>657225</xdr:colOff>
          <xdr:row>31</xdr:row>
          <xdr:rowOff>0</xdr:rowOff>
        </xdr:to>
        <xdr:sp macro="" textlink="">
          <xdr:nvSpPr>
            <xdr:cNvPr id="34817" name="Drop Down 1" hidden="1">
              <a:extLst>
                <a:ext uri="{63B3BB69-23CF-44E3-9099-C40C66FF867C}">
                  <a14:compatExt spid="_x0000_s34817"/>
                </a:ext>
                <a:ext uri="{FF2B5EF4-FFF2-40B4-BE49-F238E27FC236}">
                  <a16:creationId xmlns:a16="http://schemas.microsoft.com/office/drawing/2014/main" id="{00000000-0008-0000-2A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9</xdr:row>
          <xdr:rowOff>685800</xdr:rowOff>
        </xdr:from>
        <xdr:to>
          <xdr:col>10</xdr:col>
          <xdr:colOff>28575</xdr:colOff>
          <xdr:row>9</xdr:row>
          <xdr:rowOff>895350</xdr:rowOff>
        </xdr:to>
        <xdr:sp macro="" textlink="">
          <xdr:nvSpPr>
            <xdr:cNvPr id="35841" name="Drop Down 1" hidden="1">
              <a:extLst>
                <a:ext uri="{63B3BB69-23CF-44E3-9099-C40C66FF867C}">
                  <a14:compatExt spid="_x0000_s35841"/>
                </a:ext>
                <a:ext uri="{FF2B5EF4-FFF2-40B4-BE49-F238E27FC236}">
                  <a16:creationId xmlns:a16="http://schemas.microsoft.com/office/drawing/2014/main" id="{00000000-0008-0000-2B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10</xdr:row>
          <xdr:rowOff>685800</xdr:rowOff>
        </xdr:from>
        <xdr:to>
          <xdr:col>10</xdr:col>
          <xdr:colOff>28575</xdr:colOff>
          <xdr:row>10</xdr:row>
          <xdr:rowOff>895350</xdr:rowOff>
        </xdr:to>
        <xdr:sp macro="" textlink="">
          <xdr:nvSpPr>
            <xdr:cNvPr id="35842" name="Drop Down 2" hidden="1">
              <a:extLst>
                <a:ext uri="{63B3BB69-23CF-44E3-9099-C40C66FF867C}">
                  <a14:compatExt spid="_x0000_s35842"/>
                </a:ext>
                <a:ext uri="{FF2B5EF4-FFF2-40B4-BE49-F238E27FC236}">
                  <a16:creationId xmlns:a16="http://schemas.microsoft.com/office/drawing/2014/main" id="{00000000-0008-0000-2B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11</xdr:row>
          <xdr:rowOff>685800</xdr:rowOff>
        </xdr:from>
        <xdr:to>
          <xdr:col>10</xdr:col>
          <xdr:colOff>28575</xdr:colOff>
          <xdr:row>11</xdr:row>
          <xdr:rowOff>895350</xdr:rowOff>
        </xdr:to>
        <xdr:sp macro="" textlink="">
          <xdr:nvSpPr>
            <xdr:cNvPr id="35843" name="Drop Down 3" hidden="1">
              <a:extLst>
                <a:ext uri="{63B3BB69-23CF-44E3-9099-C40C66FF867C}">
                  <a14:compatExt spid="_x0000_s35843"/>
                </a:ext>
                <a:ext uri="{FF2B5EF4-FFF2-40B4-BE49-F238E27FC236}">
                  <a16:creationId xmlns:a16="http://schemas.microsoft.com/office/drawing/2014/main" id="{00000000-0008-0000-2B00-000003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13</xdr:row>
          <xdr:rowOff>685800</xdr:rowOff>
        </xdr:from>
        <xdr:to>
          <xdr:col>10</xdr:col>
          <xdr:colOff>28575</xdr:colOff>
          <xdr:row>13</xdr:row>
          <xdr:rowOff>895350</xdr:rowOff>
        </xdr:to>
        <xdr:sp macro="" textlink="">
          <xdr:nvSpPr>
            <xdr:cNvPr id="35844" name="Drop Down 4" hidden="1">
              <a:extLst>
                <a:ext uri="{63B3BB69-23CF-44E3-9099-C40C66FF867C}">
                  <a14:compatExt spid="_x0000_s35844"/>
                </a:ext>
                <a:ext uri="{FF2B5EF4-FFF2-40B4-BE49-F238E27FC236}">
                  <a16:creationId xmlns:a16="http://schemas.microsoft.com/office/drawing/2014/main" id="{00000000-0008-0000-2B00-00000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12</xdr:row>
          <xdr:rowOff>295275</xdr:rowOff>
        </xdr:from>
        <xdr:to>
          <xdr:col>10</xdr:col>
          <xdr:colOff>28575</xdr:colOff>
          <xdr:row>12</xdr:row>
          <xdr:rowOff>504825</xdr:rowOff>
        </xdr:to>
        <xdr:sp macro="" textlink="">
          <xdr:nvSpPr>
            <xdr:cNvPr id="35845" name="Drop Down 5" hidden="1">
              <a:extLst>
                <a:ext uri="{63B3BB69-23CF-44E3-9099-C40C66FF867C}">
                  <a14:compatExt spid="_x0000_s35845"/>
                </a:ext>
                <a:ext uri="{FF2B5EF4-FFF2-40B4-BE49-F238E27FC236}">
                  <a16:creationId xmlns:a16="http://schemas.microsoft.com/office/drawing/2014/main" id="{00000000-0008-0000-2B00-00000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15</xdr:row>
          <xdr:rowOff>9525</xdr:rowOff>
        </xdr:from>
        <xdr:to>
          <xdr:col>10</xdr:col>
          <xdr:colOff>28575</xdr:colOff>
          <xdr:row>15</xdr:row>
          <xdr:rowOff>200025</xdr:rowOff>
        </xdr:to>
        <xdr:sp macro="" textlink="">
          <xdr:nvSpPr>
            <xdr:cNvPr id="35846" name="Drop Down 6" hidden="1">
              <a:extLst>
                <a:ext uri="{63B3BB69-23CF-44E3-9099-C40C66FF867C}">
                  <a14:compatExt spid="_x0000_s35846"/>
                </a:ext>
                <a:ext uri="{FF2B5EF4-FFF2-40B4-BE49-F238E27FC236}">
                  <a16:creationId xmlns:a16="http://schemas.microsoft.com/office/drawing/2014/main" id="{00000000-0008-0000-2B00-00000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25</xdr:row>
          <xdr:rowOff>190500</xdr:rowOff>
        </xdr:from>
        <xdr:to>
          <xdr:col>10</xdr:col>
          <xdr:colOff>28575</xdr:colOff>
          <xdr:row>25</xdr:row>
          <xdr:rowOff>381000</xdr:rowOff>
        </xdr:to>
        <xdr:sp macro="" textlink="">
          <xdr:nvSpPr>
            <xdr:cNvPr id="35848" name="Drop Down 8" hidden="1">
              <a:extLst>
                <a:ext uri="{63B3BB69-23CF-44E3-9099-C40C66FF867C}">
                  <a14:compatExt spid="_x0000_s35848"/>
                </a:ext>
                <a:ext uri="{FF2B5EF4-FFF2-40B4-BE49-F238E27FC236}">
                  <a16:creationId xmlns:a16="http://schemas.microsoft.com/office/drawing/2014/main" id="{00000000-0008-0000-2B00-00000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26</xdr:row>
          <xdr:rowOff>361950</xdr:rowOff>
        </xdr:from>
        <xdr:to>
          <xdr:col>10</xdr:col>
          <xdr:colOff>28575</xdr:colOff>
          <xdr:row>26</xdr:row>
          <xdr:rowOff>571500</xdr:rowOff>
        </xdr:to>
        <xdr:sp macro="" textlink="">
          <xdr:nvSpPr>
            <xdr:cNvPr id="35850" name="Drop Down 10" hidden="1">
              <a:extLst>
                <a:ext uri="{63B3BB69-23CF-44E3-9099-C40C66FF867C}">
                  <a14:compatExt spid="_x0000_s35850"/>
                </a:ext>
                <a:ext uri="{FF2B5EF4-FFF2-40B4-BE49-F238E27FC236}">
                  <a16:creationId xmlns:a16="http://schemas.microsoft.com/office/drawing/2014/main" id="{00000000-0008-0000-2B00-00000A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381000</xdr:rowOff>
        </xdr:from>
        <xdr:to>
          <xdr:col>10</xdr:col>
          <xdr:colOff>28575</xdr:colOff>
          <xdr:row>27</xdr:row>
          <xdr:rowOff>590550</xdr:rowOff>
        </xdr:to>
        <xdr:sp macro="" textlink="">
          <xdr:nvSpPr>
            <xdr:cNvPr id="35852" name="Drop Down 12" hidden="1">
              <a:extLst>
                <a:ext uri="{63B3BB69-23CF-44E3-9099-C40C66FF867C}">
                  <a14:compatExt spid="_x0000_s35852"/>
                </a:ext>
                <a:ext uri="{FF2B5EF4-FFF2-40B4-BE49-F238E27FC236}">
                  <a16:creationId xmlns:a16="http://schemas.microsoft.com/office/drawing/2014/main" id="{00000000-0008-0000-2B00-00000C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29</xdr:row>
          <xdr:rowOff>171450</xdr:rowOff>
        </xdr:from>
        <xdr:to>
          <xdr:col>10</xdr:col>
          <xdr:colOff>28575</xdr:colOff>
          <xdr:row>29</xdr:row>
          <xdr:rowOff>381000</xdr:rowOff>
        </xdr:to>
        <xdr:sp macro="" textlink="">
          <xdr:nvSpPr>
            <xdr:cNvPr id="35853" name="Drop Down 13" hidden="1">
              <a:extLst>
                <a:ext uri="{63B3BB69-23CF-44E3-9099-C40C66FF867C}">
                  <a14:compatExt spid="_x0000_s35853"/>
                </a:ext>
                <a:ext uri="{FF2B5EF4-FFF2-40B4-BE49-F238E27FC236}">
                  <a16:creationId xmlns:a16="http://schemas.microsoft.com/office/drawing/2014/main" id="{00000000-0008-0000-2B00-00000D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323850</xdr:rowOff>
        </xdr:from>
        <xdr:to>
          <xdr:col>10</xdr:col>
          <xdr:colOff>28575</xdr:colOff>
          <xdr:row>30</xdr:row>
          <xdr:rowOff>533400</xdr:rowOff>
        </xdr:to>
        <xdr:sp macro="" textlink="">
          <xdr:nvSpPr>
            <xdr:cNvPr id="35858" name="Drop Down 18" hidden="1">
              <a:extLst>
                <a:ext uri="{63B3BB69-23CF-44E3-9099-C40C66FF867C}">
                  <a14:compatExt spid="_x0000_s35858"/>
                </a:ext>
                <a:ext uri="{FF2B5EF4-FFF2-40B4-BE49-F238E27FC236}">
                  <a16:creationId xmlns:a16="http://schemas.microsoft.com/office/drawing/2014/main" id="{00000000-0008-0000-2B00-00001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20</xdr:row>
          <xdr:rowOff>323850</xdr:rowOff>
        </xdr:from>
        <xdr:to>
          <xdr:col>10</xdr:col>
          <xdr:colOff>28575</xdr:colOff>
          <xdr:row>20</xdr:row>
          <xdr:rowOff>533400</xdr:rowOff>
        </xdr:to>
        <xdr:sp macro="" textlink="">
          <xdr:nvSpPr>
            <xdr:cNvPr id="35860" name="Drop Down 20" hidden="1">
              <a:extLst>
                <a:ext uri="{63B3BB69-23CF-44E3-9099-C40C66FF867C}">
                  <a14:compatExt spid="_x0000_s35860"/>
                </a:ext>
                <a:ext uri="{FF2B5EF4-FFF2-40B4-BE49-F238E27FC236}">
                  <a16:creationId xmlns:a16="http://schemas.microsoft.com/office/drawing/2014/main" id="{00000000-0008-0000-2B00-000014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21</xdr:row>
          <xdr:rowOff>428625</xdr:rowOff>
        </xdr:from>
        <xdr:to>
          <xdr:col>10</xdr:col>
          <xdr:colOff>28575</xdr:colOff>
          <xdr:row>21</xdr:row>
          <xdr:rowOff>638175</xdr:rowOff>
        </xdr:to>
        <xdr:sp macro="" textlink="">
          <xdr:nvSpPr>
            <xdr:cNvPr id="35861" name="Drop Down 21" hidden="1">
              <a:extLst>
                <a:ext uri="{63B3BB69-23CF-44E3-9099-C40C66FF867C}">
                  <a14:compatExt spid="_x0000_s35861"/>
                </a:ext>
                <a:ext uri="{FF2B5EF4-FFF2-40B4-BE49-F238E27FC236}">
                  <a16:creationId xmlns:a16="http://schemas.microsoft.com/office/drawing/2014/main" id="{00000000-0008-0000-2B00-000015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22</xdr:row>
          <xdr:rowOff>428625</xdr:rowOff>
        </xdr:from>
        <xdr:to>
          <xdr:col>10</xdr:col>
          <xdr:colOff>28575</xdr:colOff>
          <xdr:row>22</xdr:row>
          <xdr:rowOff>638175</xdr:rowOff>
        </xdr:to>
        <xdr:sp macro="" textlink="">
          <xdr:nvSpPr>
            <xdr:cNvPr id="35862" name="Drop Down 22" hidden="1">
              <a:extLst>
                <a:ext uri="{63B3BB69-23CF-44E3-9099-C40C66FF867C}">
                  <a14:compatExt spid="_x0000_s35862"/>
                </a:ext>
                <a:ext uri="{FF2B5EF4-FFF2-40B4-BE49-F238E27FC236}">
                  <a16:creationId xmlns:a16="http://schemas.microsoft.com/office/drawing/2014/main" id="{00000000-0008-0000-2B00-000016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28</xdr:row>
          <xdr:rowOff>247650</xdr:rowOff>
        </xdr:from>
        <xdr:to>
          <xdr:col>10</xdr:col>
          <xdr:colOff>28575</xdr:colOff>
          <xdr:row>28</xdr:row>
          <xdr:rowOff>457200</xdr:rowOff>
        </xdr:to>
        <xdr:sp macro="" textlink="">
          <xdr:nvSpPr>
            <xdr:cNvPr id="35863" name="Drop Down 23" hidden="1">
              <a:extLst>
                <a:ext uri="{63B3BB69-23CF-44E3-9099-C40C66FF867C}">
                  <a14:compatExt spid="_x0000_s35863"/>
                </a:ext>
                <a:ext uri="{FF2B5EF4-FFF2-40B4-BE49-F238E27FC236}">
                  <a16:creationId xmlns:a16="http://schemas.microsoft.com/office/drawing/2014/main" id="{00000000-0008-0000-2B00-000017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23</xdr:row>
          <xdr:rowOff>438150</xdr:rowOff>
        </xdr:from>
        <xdr:to>
          <xdr:col>10</xdr:col>
          <xdr:colOff>28575</xdr:colOff>
          <xdr:row>23</xdr:row>
          <xdr:rowOff>638175</xdr:rowOff>
        </xdr:to>
        <xdr:sp macro="" textlink="">
          <xdr:nvSpPr>
            <xdr:cNvPr id="35864" name="Drop Down 24" hidden="1">
              <a:extLst>
                <a:ext uri="{63B3BB69-23CF-44E3-9099-C40C66FF867C}">
                  <a14:compatExt spid="_x0000_s35864"/>
                </a:ext>
                <a:ext uri="{FF2B5EF4-FFF2-40B4-BE49-F238E27FC236}">
                  <a16:creationId xmlns:a16="http://schemas.microsoft.com/office/drawing/2014/main" id="{00000000-0008-0000-2B00-000018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24</xdr:row>
          <xdr:rowOff>428625</xdr:rowOff>
        </xdr:from>
        <xdr:to>
          <xdr:col>10</xdr:col>
          <xdr:colOff>28575</xdr:colOff>
          <xdr:row>24</xdr:row>
          <xdr:rowOff>638175</xdr:rowOff>
        </xdr:to>
        <xdr:sp macro="" textlink="">
          <xdr:nvSpPr>
            <xdr:cNvPr id="35865" name="Drop Down 25" hidden="1">
              <a:extLst>
                <a:ext uri="{63B3BB69-23CF-44E3-9099-C40C66FF867C}">
                  <a14:compatExt spid="_x0000_s35865"/>
                </a:ext>
                <a:ext uri="{FF2B5EF4-FFF2-40B4-BE49-F238E27FC236}">
                  <a16:creationId xmlns:a16="http://schemas.microsoft.com/office/drawing/2014/main" id="{00000000-0008-0000-2B00-000019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657225</xdr:colOff>
          <xdr:row>26</xdr:row>
          <xdr:rowOff>47625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2C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uno\controladoria\Dados\Martins\Transpar&#234;ncias\f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FD\Projects\Vallourec\Pile_Dec2016\Model\Book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Temp\Temporary%20Internet%20Files\OLKF\Documents%20and%20Settings\raimundo\Meus%20documentos\USB\Balan&#231;o%20Energia%20USB\Energeticos-GGUS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Anita%20Erbe\Local%20Settings\Temp\JFK%20Cost%20Model%202006%20-%201186mc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xcel\PLANILHAS%20RIT\2001\05-Mai\BALA.04.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am\Alvares\CUSTOS\TM\Descascadeiras\Custos\Custo%20Variavel%20Descasc.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6112%20Empresas%20APAGA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luxo de caixa"/>
      <sheetName val="fina"/>
      <sheetName val="#RE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ne Model"/>
      <sheetName val="Pellet model"/>
    </sheetNames>
    <sheetDataSet>
      <sheetData sheetId="0" refreshError="1"/>
      <sheetData sheetId="1">
        <row r="2">
          <cell r="E2" t="str">
            <v>Project Pile | Mine Model</v>
          </cell>
        </row>
        <row r="4">
          <cell r="E4" t="str">
            <v>Expansion</v>
          </cell>
          <cell r="G4">
            <v>1</v>
          </cell>
          <cell r="H4" t="str">
            <v>1 = Expansion, 2 = No Expansion</v>
          </cell>
        </row>
        <row r="6">
          <cell r="A6" t="str">
            <v>x</v>
          </cell>
          <cell r="E6" t="str">
            <v>Project Pile | Mine Model</v>
          </cell>
          <cell r="I6">
            <v>2013</v>
          </cell>
          <cell r="J6">
            <v>2014</v>
          </cell>
          <cell r="K6">
            <v>2015</v>
          </cell>
          <cell r="L6">
            <v>2016</v>
          </cell>
          <cell r="M6">
            <v>2017</v>
          </cell>
          <cell r="N6">
            <v>2018</v>
          </cell>
          <cell r="O6">
            <v>2019</v>
          </cell>
          <cell r="P6">
            <v>2020</v>
          </cell>
          <cell r="Q6">
            <v>2021</v>
          </cell>
          <cell r="R6">
            <v>2022</v>
          </cell>
          <cell r="S6">
            <v>2023</v>
          </cell>
          <cell r="T6">
            <v>2024</v>
          </cell>
          <cell r="U6">
            <v>2025</v>
          </cell>
          <cell r="V6">
            <v>2026</v>
          </cell>
          <cell r="W6">
            <v>2027</v>
          </cell>
          <cell r="X6">
            <v>2028</v>
          </cell>
          <cell r="Y6">
            <v>2029</v>
          </cell>
          <cell r="Z6">
            <v>2030</v>
          </cell>
          <cell r="AA6">
            <v>2031</v>
          </cell>
          <cell r="AB6">
            <v>2032</v>
          </cell>
          <cell r="AC6">
            <v>2033</v>
          </cell>
          <cell r="AD6">
            <v>2034</v>
          </cell>
          <cell r="AE6">
            <v>2035</v>
          </cell>
          <cell r="AF6">
            <v>2036</v>
          </cell>
          <cell r="AG6">
            <v>2037</v>
          </cell>
          <cell r="AH6">
            <v>2038</v>
          </cell>
          <cell r="AI6">
            <v>2039</v>
          </cell>
          <cell r="AJ6">
            <v>2040</v>
          </cell>
          <cell r="AK6">
            <v>2041</v>
          </cell>
          <cell r="AL6">
            <v>2042</v>
          </cell>
          <cell r="AM6">
            <v>2043</v>
          </cell>
          <cell r="AN6">
            <v>2044</v>
          </cell>
          <cell r="AO6">
            <v>2045</v>
          </cell>
          <cell r="AP6">
            <v>2046</v>
          </cell>
          <cell r="AQ6">
            <v>2047</v>
          </cell>
          <cell r="AR6">
            <v>2048</v>
          </cell>
          <cell r="AS6">
            <v>2049</v>
          </cell>
          <cell r="AT6">
            <v>2050</v>
          </cell>
        </row>
        <row r="8">
          <cell r="A8" t="str">
            <v>x</v>
          </cell>
          <cell r="B8">
            <v>1</v>
          </cell>
          <cell r="E8" t="str">
            <v xml:space="preserve">Macro Assumptions </v>
          </cell>
          <cell r="I8">
            <v>2013</v>
          </cell>
          <cell r="J8">
            <v>2014</v>
          </cell>
          <cell r="K8">
            <v>2015</v>
          </cell>
          <cell r="L8">
            <v>2016</v>
          </cell>
          <cell r="M8">
            <v>2017</v>
          </cell>
          <cell r="N8">
            <v>2018</v>
          </cell>
          <cell r="O8">
            <v>2019</v>
          </cell>
          <cell r="P8">
            <v>2020</v>
          </cell>
          <cell r="Q8">
            <v>2021</v>
          </cell>
          <cell r="R8">
            <v>2022</v>
          </cell>
          <cell r="S8">
            <v>2023</v>
          </cell>
          <cell r="T8">
            <v>2024</v>
          </cell>
          <cell r="U8">
            <v>2025</v>
          </cell>
          <cell r="V8">
            <v>2026</v>
          </cell>
          <cell r="W8">
            <v>2027</v>
          </cell>
          <cell r="X8">
            <v>2028</v>
          </cell>
          <cell r="Y8">
            <v>2029</v>
          </cell>
          <cell r="Z8">
            <v>2030</v>
          </cell>
          <cell r="AA8">
            <v>2031</v>
          </cell>
          <cell r="AB8">
            <v>2032</v>
          </cell>
          <cell r="AC8">
            <v>2033</v>
          </cell>
          <cell r="AD8">
            <v>2034</v>
          </cell>
          <cell r="AE8">
            <v>2035</v>
          </cell>
          <cell r="AF8">
            <v>2036</v>
          </cell>
          <cell r="AG8">
            <v>2037</v>
          </cell>
          <cell r="AH8">
            <v>2038</v>
          </cell>
          <cell r="AI8">
            <v>2039</v>
          </cell>
          <cell r="AJ8">
            <v>2040</v>
          </cell>
          <cell r="AK8">
            <v>2041</v>
          </cell>
          <cell r="AL8">
            <v>2042</v>
          </cell>
          <cell r="AM8">
            <v>2043</v>
          </cell>
          <cell r="AN8">
            <v>2044</v>
          </cell>
          <cell r="AO8">
            <v>2045</v>
          </cell>
          <cell r="AP8">
            <v>2046</v>
          </cell>
          <cell r="AQ8">
            <v>2047</v>
          </cell>
          <cell r="AR8">
            <v>2048</v>
          </cell>
          <cell r="AS8">
            <v>2049</v>
          </cell>
          <cell r="AT8">
            <v>2050</v>
          </cell>
        </row>
        <row r="10">
          <cell r="E10" t="str">
            <v>IPCA</v>
          </cell>
          <cell r="F10" t="str">
            <v>[%]</v>
          </cell>
          <cell r="I10">
            <v>5.91E-2</v>
          </cell>
          <cell r="J10">
            <v>6.4100000000000004E-2</v>
          </cell>
          <cell r="K10">
            <v>0.1067</v>
          </cell>
          <cell r="L10">
            <v>6.2881000000000006E-2</v>
          </cell>
          <cell r="M10">
            <v>3.8800000000000001E-2</v>
          </cell>
          <cell r="N10">
            <v>4.3400000000000001E-2</v>
          </cell>
          <cell r="O10">
            <v>4.2900000000000001E-2</v>
          </cell>
          <cell r="P10">
            <v>4.2500000000000003E-2</v>
          </cell>
          <cell r="Q10">
            <v>4.1900000000000007E-2</v>
          </cell>
          <cell r="R10">
            <v>4.1900000000000007E-2</v>
          </cell>
          <cell r="S10">
            <v>4.1900000000000007E-2</v>
          </cell>
          <cell r="T10">
            <v>4.1900000000000007E-2</v>
          </cell>
          <cell r="U10">
            <v>4.1900000000000007E-2</v>
          </cell>
          <cell r="V10">
            <v>4.1900000000000007E-2</v>
          </cell>
          <cell r="W10">
            <v>4.1900000000000007E-2</v>
          </cell>
          <cell r="X10">
            <v>4.1900000000000007E-2</v>
          </cell>
          <cell r="Y10">
            <v>4.1900000000000007E-2</v>
          </cell>
          <cell r="Z10">
            <v>4.1900000000000007E-2</v>
          </cell>
          <cell r="AA10">
            <v>4.1900000000000007E-2</v>
          </cell>
          <cell r="AB10">
            <v>4.1900000000000007E-2</v>
          </cell>
          <cell r="AC10">
            <v>4.1900000000000007E-2</v>
          </cell>
          <cell r="AD10">
            <v>4.1900000000000007E-2</v>
          </cell>
          <cell r="AE10">
            <v>4.1900000000000007E-2</v>
          </cell>
          <cell r="AF10">
            <v>4.1900000000000007E-2</v>
          </cell>
          <cell r="AG10">
            <v>4.1900000000000007E-2</v>
          </cell>
          <cell r="AH10">
            <v>4.1900000000000007E-2</v>
          </cell>
          <cell r="AI10">
            <v>4.1900000000000007E-2</v>
          </cell>
          <cell r="AJ10">
            <v>4.1900000000000007E-2</v>
          </cell>
          <cell r="AK10">
            <v>4.1900000000000007E-2</v>
          </cell>
          <cell r="AL10">
            <v>4.1900000000000007E-2</v>
          </cell>
          <cell r="AM10">
            <v>4.1900000000000007E-2</v>
          </cell>
          <cell r="AN10">
            <v>4.1900000000000007E-2</v>
          </cell>
          <cell r="AO10">
            <v>4.1900000000000007E-2</v>
          </cell>
          <cell r="AP10">
            <v>4.1900000000000007E-2</v>
          </cell>
          <cell r="AQ10">
            <v>4.1900000000000007E-2</v>
          </cell>
          <cell r="AR10">
            <v>4.1900000000000007E-2</v>
          </cell>
          <cell r="AS10">
            <v>4.1900000000000007E-2</v>
          </cell>
          <cell r="AT10">
            <v>4.1900000000000007E-2</v>
          </cell>
        </row>
        <row r="11">
          <cell r="E11" t="str">
            <v>IGP-M</v>
          </cell>
          <cell r="F11" t="str">
            <v>[%]</v>
          </cell>
          <cell r="I11">
            <v>5.5257000000000001E-2</v>
          </cell>
          <cell r="J11">
            <v>3.6700000000000003E-2</v>
          </cell>
          <cell r="K11">
            <v>0.10539999999999999</v>
          </cell>
          <cell r="L11">
            <v>5.2299999999999999E-2</v>
          </cell>
          <cell r="M11">
            <v>1.66E-2</v>
          </cell>
          <cell r="N11">
            <v>4.5700000000000005E-2</v>
          </cell>
          <cell r="O11">
            <v>4.53E-2</v>
          </cell>
          <cell r="P11">
            <v>4.4900000000000002E-2</v>
          </cell>
          <cell r="Q11">
            <v>4.4000000000000004E-2</v>
          </cell>
          <cell r="R11">
            <v>4.4000000000000004E-2</v>
          </cell>
          <cell r="S11">
            <v>4.4000000000000004E-2</v>
          </cell>
          <cell r="T11">
            <v>4.4000000000000004E-2</v>
          </cell>
          <cell r="U11">
            <v>4.4000000000000004E-2</v>
          </cell>
          <cell r="V11">
            <v>4.4000000000000004E-2</v>
          </cell>
          <cell r="W11">
            <v>4.4000000000000004E-2</v>
          </cell>
          <cell r="X11">
            <v>4.4000000000000004E-2</v>
          </cell>
          <cell r="Y11">
            <v>4.4000000000000004E-2</v>
          </cell>
          <cell r="Z11">
            <v>4.4000000000000004E-2</v>
          </cell>
          <cell r="AA11">
            <v>4.4000000000000004E-2</v>
          </cell>
          <cell r="AB11">
            <v>4.4000000000000004E-2</v>
          </cell>
          <cell r="AC11">
            <v>4.4000000000000004E-2</v>
          </cell>
          <cell r="AD11">
            <v>4.4000000000000004E-2</v>
          </cell>
          <cell r="AE11">
            <v>4.4000000000000004E-2</v>
          </cell>
          <cell r="AF11">
            <v>4.4000000000000004E-2</v>
          </cell>
          <cell r="AG11">
            <v>4.4000000000000004E-2</v>
          </cell>
          <cell r="AH11">
            <v>4.4000000000000004E-2</v>
          </cell>
          <cell r="AI11">
            <v>4.4000000000000004E-2</v>
          </cell>
          <cell r="AJ11">
            <v>4.4000000000000004E-2</v>
          </cell>
          <cell r="AK11">
            <v>4.4000000000000004E-2</v>
          </cell>
          <cell r="AL11">
            <v>4.4000000000000004E-2</v>
          </cell>
          <cell r="AM11">
            <v>4.4000000000000004E-2</v>
          </cell>
          <cell r="AN11">
            <v>4.4000000000000004E-2</v>
          </cell>
          <cell r="AO11">
            <v>4.4000000000000004E-2</v>
          </cell>
          <cell r="AP11">
            <v>4.4000000000000004E-2</v>
          </cell>
          <cell r="AQ11">
            <v>4.4000000000000004E-2</v>
          </cell>
          <cell r="AR11">
            <v>4.4000000000000004E-2</v>
          </cell>
          <cell r="AS11">
            <v>4.4000000000000004E-2</v>
          </cell>
          <cell r="AT11">
            <v>4.4000000000000004E-2</v>
          </cell>
        </row>
        <row r="12">
          <cell r="E12" t="str">
            <v>Selic (Average)</v>
          </cell>
          <cell r="F12" t="str">
            <v>[%]</v>
          </cell>
          <cell r="I12">
            <v>8.1900000000000001E-2</v>
          </cell>
          <cell r="J12">
            <v>0.11</v>
          </cell>
          <cell r="K12">
            <v>0.13370000000000001</v>
          </cell>
          <cell r="L12">
            <v>0.1168</v>
          </cell>
          <cell r="M12">
            <v>0.10279999999999999</v>
          </cell>
          <cell r="N12">
            <v>8.5600000000000009E-2</v>
          </cell>
          <cell r="O12">
            <v>8.6400000000000005E-2</v>
          </cell>
          <cell r="P12">
            <v>8.5500000000000007E-2</v>
          </cell>
          <cell r="Q12">
            <v>8.4900000000000003E-2</v>
          </cell>
          <cell r="R12">
            <v>8.4900000000000003E-2</v>
          </cell>
          <cell r="S12">
            <v>8.4900000000000003E-2</v>
          </cell>
          <cell r="T12">
            <v>8.4900000000000003E-2</v>
          </cell>
          <cell r="U12">
            <v>8.4900000000000003E-2</v>
          </cell>
          <cell r="V12">
            <v>8.4900000000000003E-2</v>
          </cell>
          <cell r="W12">
            <v>8.4900000000000003E-2</v>
          </cell>
          <cell r="X12">
            <v>8.4900000000000003E-2</v>
          </cell>
          <cell r="Y12">
            <v>8.4900000000000003E-2</v>
          </cell>
          <cell r="Z12">
            <v>8.4900000000000003E-2</v>
          </cell>
          <cell r="AA12">
            <v>8.4900000000000003E-2</v>
          </cell>
          <cell r="AB12">
            <v>8.4900000000000003E-2</v>
          </cell>
          <cell r="AC12">
            <v>8.4900000000000003E-2</v>
          </cell>
          <cell r="AD12">
            <v>8.4900000000000003E-2</v>
          </cell>
          <cell r="AE12">
            <v>8.4900000000000003E-2</v>
          </cell>
          <cell r="AF12">
            <v>8.4900000000000003E-2</v>
          </cell>
          <cell r="AG12">
            <v>8.4900000000000003E-2</v>
          </cell>
          <cell r="AH12">
            <v>8.4900000000000003E-2</v>
          </cell>
          <cell r="AI12">
            <v>8.4900000000000003E-2</v>
          </cell>
          <cell r="AJ12">
            <v>8.4900000000000003E-2</v>
          </cell>
          <cell r="AK12">
            <v>8.4900000000000003E-2</v>
          </cell>
          <cell r="AL12">
            <v>8.4900000000000003E-2</v>
          </cell>
          <cell r="AM12">
            <v>8.4900000000000003E-2</v>
          </cell>
          <cell r="AN12">
            <v>8.4900000000000003E-2</v>
          </cell>
          <cell r="AO12">
            <v>8.4900000000000003E-2</v>
          </cell>
          <cell r="AP12">
            <v>8.4900000000000003E-2</v>
          </cell>
          <cell r="AQ12">
            <v>8.4900000000000003E-2</v>
          </cell>
          <cell r="AR12">
            <v>8.4900000000000003E-2</v>
          </cell>
          <cell r="AS12">
            <v>8.4900000000000003E-2</v>
          </cell>
          <cell r="AT12">
            <v>8.4900000000000003E-2</v>
          </cell>
        </row>
        <row r="13">
          <cell r="E13" t="str">
            <v>TJLP</v>
          </cell>
          <cell r="F13" t="str">
            <v>[%]</v>
          </cell>
          <cell r="I13">
            <v>0.05</v>
          </cell>
          <cell r="J13">
            <v>0.05</v>
          </cell>
          <cell r="K13">
            <v>6.25E-2</v>
          </cell>
          <cell r="L13">
            <v>7.4999999999999997E-2</v>
          </cell>
          <cell r="M13">
            <v>7.0000000000000007E-2</v>
          </cell>
          <cell r="N13">
            <v>7.0000000000000007E-2</v>
          </cell>
          <cell r="O13">
            <v>6.25E-2</v>
          </cell>
          <cell r="P13">
            <v>6.5000000000000002E-2</v>
          </cell>
          <cell r="Q13">
            <v>6.5000000000000002E-2</v>
          </cell>
          <cell r="R13">
            <v>6.5000000000000002E-2</v>
          </cell>
          <cell r="S13">
            <v>6.5000000000000002E-2</v>
          </cell>
          <cell r="T13">
            <v>6.5000000000000002E-2</v>
          </cell>
          <cell r="U13">
            <v>6.5000000000000002E-2</v>
          </cell>
          <cell r="V13">
            <v>6.5000000000000002E-2</v>
          </cell>
          <cell r="W13">
            <v>6.5000000000000002E-2</v>
          </cell>
          <cell r="X13">
            <v>6.5000000000000002E-2</v>
          </cell>
          <cell r="Y13">
            <v>6.5000000000000002E-2</v>
          </cell>
          <cell r="Z13">
            <v>6.5000000000000002E-2</v>
          </cell>
          <cell r="AA13">
            <v>6.5000000000000002E-2</v>
          </cell>
          <cell r="AB13">
            <v>6.5000000000000002E-2</v>
          </cell>
          <cell r="AC13">
            <v>6.5000000000000002E-2</v>
          </cell>
          <cell r="AD13">
            <v>6.5000000000000002E-2</v>
          </cell>
          <cell r="AE13">
            <v>6.5000000000000002E-2</v>
          </cell>
          <cell r="AF13">
            <v>6.5000000000000002E-2</v>
          </cell>
          <cell r="AG13">
            <v>6.5000000000000002E-2</v>
          </cell>
          <cell r="AH13">
            <v>6.5000000000000002E-2</v>
          </cell>
          <cell r="AI13">
            <v>6.5000000000000002E-2</v>
          </cell>
          <cell r="AJ13">
            <v>6.5000000000000002E-2</v>
          </cell>
          <cell r="AK13">
            <v>6.5000000000000002E-2</v>
          </cell>
          <cell r="AL13">
            <v>6.5000000000000002E-2</v>
          </cell>
          <cell r="AM13">
            <v>6.5000000000000002E-2</v>
          </cell>
          <cell r="AN13">
            <v>6.5000000000000002E-2</v>
          </cell>
          <cell r="AO13">
            <v>6.5000000000000002E-2</v>
          </cell>
          <cell r="AP13">
            <v>6.5000000000000002E-2</v>
          </cell>
          <cell r="AQ13">
            <v>6.5000000000000002E-2</v>
          </cell>
          <cell r="AR13">
            <v>6.5000000000000002E-2</v>
          </cell>
          <cell r="AS13">
            <v>6.5000000000000002E-2</v>
          </cell>
          <cell r="AT13">
            <v>6.5000000000000002E-2</v>
          </cell>
        </row>
        <row r="14">
          <cell r="E14" t="str">
            <v>FX (Average) - Nominal</v>
          </cell>
          <cell r="F14" t="str">
            <v>[R$/US$]</v>
          </cell>
          <cell r="I14">
            <v>2.1605075098814228</v>
          </cell>
          <cell r="J14">
            <v>2.3555334645669288</v>
          </cell>
          <cell r="K14">
            <v>3.39</v>
          </cell>
          <cell r="L14">
            <v>3.4387014233553579</v>
          </cell>
          <cell r="M14">
            <v>3.22</v>
          </cell>
          <cell r="N14">
            <v>3.35</v>
          </cell>
          <cell r="O14">
            <v>3.42</v>
          </cell>
          <cell r="P14">
            <v>3.47</v>
          </cell>
          <cell r="Q14">
            <v>3.55</v>
          </cell>
          <cell r="R14">
            <v>3.619124266144814</v>
          </cell>
          <cell r="S14">
            <v>3.6895944940276726</v>
          </cell>
          <cell r="T14">
            <v>3.761436891709816</v>
          </cell>
          <cell r="U14">
            <v>3.8346781775660053</v>
          </cell>
          <cell r="V14">
            <v>3.9093455902211556</v>
          </cell>
          <cell r="W14">
            <v>3.985466898680452</v>
          </cell>
          <cell r="X14">
            <v>4.0630704126567148</v>
          </cell>
          <cell r="Y14">
            <v>4.1421849930988559</v>
          </cell>
          <cell r="Z14">
            <v>4.2228400629253402</v>
          </cell>
          <cell r="AA14">
            <v>4.3050656179666458</v>
          </cell>
          <cell r="AB14">
            <v>4.3888922381207909</v>
          </cell>
          <cell r="AC14">
            <v>4.4743510987260784</v>
          </cell>
          <cell r="AD14">
            <v>4.5614739821552845</v>
          </cell>
          <cell r="AE14">
            <v>4.6502932896356075</v>
          </cell>
          <cell r="AF14">
            <v>4.7408420532987661</v>
          </cell>
          <cell r="AG14">
            <v>4.8331539484657382</v>
          </cell>
          <cell r="AH14">
            <v>4.9272633061706976</v>
          </cell>
          <cell r="AI14">
            <v>5.0232051259288157</v>
          </cell>
          <cell r="AJ14">
            <v>5.1210150887526744</v>
          </cell>
          <cell r="AK14">
            <v>5.220729570422125</v>
          </cell>
          <cell r="AL14">
            <v>5.3223856550125364</v>
          </cell>
          <cell r="AM14">
            <v>5.4260211486864591</v>
          </cell>
          <cell r="AN14">
            <v>5.531674593753837</v>
          </cell>
          <cell r="AO14">
            <v>5.639385283005991</v>
          </cell>
          <cell r="AP14">
            <v>5.74919327432871</v>
          </cell>
          <cell r="AQ14">
            <v>5.8611394055998849</v>
          </cell>
          <cell r="AR14">
            <v>5.975265309877221</v>
          </cell>
          <cell r="AS14">
            <v>6.0916134308816794</v>
          </cell>
          <cell r="AT14">
            <v>6.210227038782409</v>
          </cell>
        </row>
        <row r="15">
          <cell r="E15" t="str">
            <v>FX (EoP) - Nominal</v>
          </cell>
          <cell r="F15" t="str">
            <v>[R$/US$]</v>
          </cell>
          <cell r="I15">
            <v>2.3426</v>
          </cell>
          <cell r="J15">
            <v>2.6562000000000001</v>
          </cell>
          <cell r="K15">
            <v>3.92</v>
          </cell>
          <cell r="L15">
            <v>3.3285</v>
          </cell>
          <cell r="M15">
            <v>3.28</v>
          </cell>
          <cell r="N15">
            <v>3.39</v>
          </cell>
          <cell r="O15">
            <v>3.45</v>
          </cell>
          <cell r="P15">
            <v>3.51</v>
          </cell>
          <cell r="Q15">
            <v>3.57</v>
          </cell>
          <cell r="R15">
            <v>3.6395136986301369</v>
          </cell>
          <cell r="S15">
            <v>3.7103809418813496</v>
          </cell>
          <cell r="T15">
            <v>3.7826280854659275</v>
          </cell>
          <cell r="U15">
            <v>3.8562819982846865</v>
          </cell>
          <cell r="V15">
            <v>3.9313700724195839</v>
          </cell>
          <cell r="W15">
            <v>4.0079202333209043</v>
          </cell>
          <cell r="X15">
            <v>4.085960950192808</v>
          </cell>
          <cell r="Y15">
            <v>4.1655212465811022</v>
          </cell>
          <cell r="Z15">
            <v>4.2466307111671728</v>
          </cell>
          <cell r="AA15">
            <v>4.329319508772091</v>
          </cell>
          <cell r="AB15">
            <v>4.4136183915749916</v>
          </cell>
          <cell r="AC15">
            <v>4.499558710549886</v>
          </cell>
          <cell r="AD15">
            <v>4.5871724271251724</v>
          </cell>
          <cell r="AE15">
            <v>4.6764921250701734</v>
          </cell>
          <cell r="AF15">
            <v>4.7675510226131248</v>
          </cell>
          <cell r="AG15">
            <v>4.8603829847951223</v>
          </cell>
          <cell r="AH15">
            <v>4.9550225360646163</v>
          </cell>
          <cell r="AI15">
            <v>5.0515048731171461</v>
          </cell>
          <cell r="AJ15">
            <v>5.149865877985083</v>
          </cell>
          <cell r="AK15">
            <v>5.2501421313822485</v>
          </cell>
          <cell r="AL15">
            <v>5.3523709263083799</v>
          </cell>
          <cell r="AM15">
            <v>5.4565902819184942</v>
          </cell>
          <cell r="AN15">
            <v>5.5628389576623078</v>
          </cell>
          <cell r="AO15">
            <v>5.6711564676989807</v>
          </cell>
          <cell r="AP15">
            <v>5.7815830955925325</v>
          </cell>
          <cell r="AQ15">
            <v>5.8941599092934043</v>
          </cell>
          <cell r="AR15">
            <v>6.0089287764117394</v>
          </cell>
          <cell r="AS15">
            <v>6.125932379788054</v>
          </cell>
          <cell r="AT15">
            <v>6.245214233367097</v>
          </cell>
        </row>
        <row r="16">
          <cell r="E16" t="str">
            <v>FX (Average) - Real from 2017 onwads</v>
          </cell>
          <cell r="F16" t="str">
            <v>[R$/US$]</v>
          </cell>
          <cell r="I16">
            <v>2.1605075098814228</v>
          </cell>
          <cell r="J16">
            <v>2.3555334645669288</v>
          </cell>
          <cell r="K16">
            <v>3.39</v>
          </cell>
          <cell r="L16">
            <v>3.4387014233553579</v>
          </cell>
          <cell r="M16">
            <v>3.17722371967655</v>
          </cell>
          <cell r="N16">
            <v>3.2408694189318714</v>
          </cell>
          <cell r="O16">
            <v>3.2422840523132064</v>
          </cell>
          <cell r="P16">
            <v>3.224996599514891</v>
          </cell>
          <cell r="Q16">
            <v>3.2363314756376349</v>
          </cell>
          <cell r="R16">
            <v>3.2363314756376349</v>
          </cell>
          <cell r="S16">
            <v>3.2363314756376345</v>
          </cell>
          <cell r="T16">
            <v>3.2363314756376345</v>
          </cell>
          <cell r="U16">
            <v>3.2363314756376349</v>
          </cell>
          <cell r="V16">
            <v>3.2363314756376349</v>
          </cell>
          <cell r="W16">
            <v>3.2363314756376349</v>
          </cell>
          <cell r="X16">
            <v>3.2363314756376345</v>
          </cell>
          <cell r="Y16">
            <v>3.236331475637634</v>
          </cell>
          <cell r="Z16">
            <v>3.236331475637634</v>
          </cell>
          <cell r="AA16">
            <v>3.236331475637634</v>
          </cell>
          <cell r="AB16">
            <v>3.236331475637634</v>
          </cell>
          <cell r="AC16">
            <v>3.236331475637634</v>
          </cell>
          <cell r="AD16">
            <v>3.236331475637634</v>
          </cell>
          <cell r="AE16">
            <v>3.236331475637634</v>
          </cell>
          <cell r="AF16">
            <v>3.2363314756376336</v>
          </cell>
          <cell r="AG16">
            <v>3.236331475637634</v>
          </cell>
          <cell r="AH16">
            <v>3.236331475637634</v>
          </cell>
          <cell r="AI16">
            <v>3.236331475637634</v>
          </cell>
          <cell r="AJ16">
            <v>3.236331475637634</v>
          </cell>
          <cell r="AK16">
            <v>3.236331475637634</v>
          </cell>
          <cell r="AL16">
            <v>3.236331475637634</v>
          </cell>
          <cell r="AM16">
            <v>3.236331475637634</v>
          </cell>
          <cell r="AN16">
            <v>3.2363314756376336</v>
          </cell>
          <cell r="AO16">
            <v>3.2363314756376336</v>
          </cell>
          <cell r="AP16">
            <v>3.2363314756376331</v>
          </cell>
          <cell r="AQ16">
            <v>3.2363314756376331</v>
          </cell>
          <cell r="AR16">
            <v>3.2363314756376331</v>
          </cell>
          <cell r="AS16">
            <v>3.2363314756376327</v>
          </cell>
          <cell r="AT16">
            <v>3.2363314756376331</v>
          </cell>
        </row>
        <row r="17">
          <cell r="E17" t="str">
            <v>FX (EoP) - Real from 2017 onwads</v>
          </cell>
          <cell r="F17" t="str">
            <v>[R$/US$]</v>
          </cell>
          <cell r="I17">
            <v>2.3426</v>
          </cell>
          <cell r="J17">
            <v>2.6562000000000001</v>
          </cell>
          <cell r="K17">
            <v>3.92</v>
          </cell>
          <cell r="L17">
            <v>3.3285</v>
          </cell>
          <cell r="M17">
            <v>3.2364266461301501</v>
          </cell>
          <cell r="N17">
            <v>3.2795663672176252</v>
          </cell>
          <cell r="O17">
            <v>3.2707251404913924</v>
          </cell>
          <cell r="P17">
            <v>3.2621723528234199</v>
          </cell>
          <cell r="Q17">
            <v>3.2545643290215089</v>
          </cell>
          <cell r="R17">
            <v>3.2545643290215089</v>
          </cell>
          <cell r="S17">
            <v>3.2545643290215085</v>
          </cell>
          <cell r="T17">
            <v>3.2545643290215085</v>
          </cell>
          <cell r="U17">
            <v>3.2545643290215085</v>
          </cell>
          <cell r="V17">
            <v>3.2545643290215085</v>
          </cell>
          <cell r="W17">
            <v>3.2545643290215085</v>
          </cell>
          <cell r="X17">
            <v>3.2545643290215081</v>
          </cell>
          <cell r="Y17">
            <v>3.2545643290215076</v>
          </cell>
          <cell r="Z17">
            <v>3.2545643290215076</v>
          </cell>
          <cell r="AA17">
            <v>3.2545643290215072</v>
          </cell>
          <cell r="AB17">
            <v>3.2545643290215072</v>
          </cell>
          <cell r="AC17">
            <v>3.2545643290215072</v>
          </cell>
          <cell r="AD17">
            <v>3.2545643290215072</v>
          </cell>
          <cell r="AE17">
            <v>3.2545643290215072</v>
          </cell>
          <cell r="AF17">
            <v>3.2545643290215076</v>
          </cell>
          <cell r="AG17">
            <v>3.2545643290215076</v>
          </cell>
          <cell r="AH17">
            <v>3.2545643290215076</v>
          </cell>
          <cell r="AI17">
            <v>3.2545643290215076</v>
          </cell>
          <cell r="AJ17">
            <v>3.2545643290215076</v>
          </cell>
          <cell r="AK17">
            <v>3.2545643290215076</v>
          </cell>
          <cell r="AL17">
            <v>3.2545643290215072</v>
          </cell>
          <cell r="AM17">
            <v>3.2545643290215072</v>
          </cell>
          <cell r="AN17">
            <v>3.2545643290215067</v>
          </cell>
          <cell r="AO17">
            <v>3.2545643290215067</v>
          </cell>
          <cell r="AP17">
            <v>3.2545643290215067</v>
          </cell>
          <cell r="AQ17">
            <v>3.2545643290215063</v>
          </cell>
          <cell r="AR17">
            <v>3.2545643290215063</v>
          </cell>
          <cell r="AS17">
            <v>3.2545643290215063</v>
          </cell>
          <cell r="AT17">
            <v>3.2545643290215063</v>
          </cell>
        </row>
        <row r="18">
          <cell r="E18" t="str">
            <v>Inflation USA (CPI)</v>
          </cell>
          <cell r="F18" t="str">
            <v>[%]</v>
          </cell>
          <cell r="I18">
            <v>1.4670000000000001E-2</v>
          </cell>
          <cell r="J18">
            <v>1.61E-2</v>
          </cell>
          <cell r="K18">
            <v>1.1800000000000001E-3</v>
          </cell>
          <cell r="L18">
            <v>1.188E-2</v>
          </cell>
          <cell r="M18">
            <v>2.5000000000000001E-2</v>
          </cell>
          <cell r="N18">
            <v>2.3E-2</v>
          </cell>
          <cell r="O18">
            <v>2.1999999999999999E-2</v>
          </cell>
          <cell r="P18">
            <v>2.1999999999999999E-2</v>
          </cell>
          <cell r="Q18">
            <v>2.1999999999999999E-2</v>
          </cell>
          <cell r="R18">
            <v>2.1999999999999999E-2</v>
          </cell>
          <cell r="S18">
            <v>2.1999999999999999E-2</v>
          </cell>
          <cell r="T18">
            <v>2.1999999999999999E-2</v>
          </cell>
          <cell r="U18">
            <v>2.1999999999999999E-2</v>
          </cell>
          <cell r="V18">
            <v>2.1999999999999999E-2</v>
          </cell>
          <cell r="W18">
            <v>2.1999999999999999E-2</v>
          </cell>
          <cell r="X18">
            <v>2.1999999999999999E-2</v>
          </cell>
          <cell r="Y18">
            <v>2.1999999999999999E-2</v>
          </cell>
          <cell r="Z18">
            <v>2.1999999999999999E-2</v>
          </cell>
          <cell r="AA18">
            <v>2.1999999999999999E-2</v>
          </cell>
          <cell r="AB18">
            <v>2.1999999999999999E-2</v>
          </cell>
          <cell r="AC18">
            <v>2.1999999999999999E-2</v>
          </cell>
          <cell r="AD18">
            <v>2.1999999999999999E-2</v>
          </cell>
          <cell r="AE18">
            <v>2.1999999999999999E-2</v>
          </cell>
          <cell r="AF18">
            <v>2.1999999999999999E-2</v>
          </cell>
          <cell r="AG18">
            <v>2.1999999999999999E-2</v>
          </cell>
          <cell r="AH18">
            <v>2.1999999999999999E-2</v>
          </cell>
          <cell r="AI18">
            <v>2.1999999999999999E-2</v>
          </cell>
          <cell r="AJ18">
            <v>2.1999999999999999E-2</v>
          </cell>
          <cell r="AK18">
            <v>2.1999999999999999E-2</v>
          </cell>
          <cell r="AL18">
            <v>2.1999999999999999E-2</v>
          </cell>
          <cell r="AM18">
            <v>2.1999999999999999E-2</v>
          </cell>
          <cell r="AN18">
            <v>2.1999999999999999E-2</v>
          </cell>
          <cell r="AO18">
            <v>2.1999999999999999E-2</v>
          </cell>
          <cell r="AP18">
            <v>2.1999999999999999E-2</v>
          </cell>
          <cell r="AQ18">
            <v>2.1999999999999999E-2</v>
          </cell>
          <cell r="AR18">
            <v>2.1999999999999999E-2</v>
          </cell>
          <cell r="AS18">
            <v>2.1999999999999999E-2</v>
          </cell>
          <cell r="AT18">
            <v>2.1999999999999999E-2</v>
          </cell>
        </row>
        <row r="19">
          <cell r="E19" t="str">
            <v>CDI</v>
          </cell>
          <cell r="F19" t="str">
            <v>[%]</v>
          </cell>
          <cell r="I19">
            <v>8.0638000000000001E-2</v>
          </cell>
          <cell r="J19">
            <v>0.10814008223189386</v>
          </cell>
          <cell r="K19">
            <v>0.13240346183373219</v>
          </cell>
          <cell r="L19">
            <v>0.13694602190314664</v>
          </cell>
          <cell r="M19">
            <v>0.10279999999999999</v>
          </cell>
          <cell r="N19">
            <v>8.5600000000000009E-2</v>
          </cell>
          <cell r="O19">
            <v>8.6400000000000005E-2</v>
          </cell>
          <cell r="P19">
            <v>8.5500000000000007E-2</v>
          </cell>
          <cell r="Q19">
            <v>8.4900000000000003E-2</v>
          </cell>
          <cell r="R19">
            <v>8.4900000000000003E-2</v>
          </cell>
          <cell r="S19">
            <v>8.4900000000000003E-2</v>
          </cell>
          <cell r="T19">
            <v>8.4900000000000003E-2</v>
          </cell>
          <cell r="U19">
            <v>8.4900000000000003E-2</v>
          </cell>
          <cell r="V19">
            <v>8.4900000000000003E-2</v>
          </cell>
          <cell r="W19">
            <v>8.4900000000000003E-2</v>
          </cell>
          <cell r="X19">
            <v>8.4900000000000003E-2</v>
          </cell>
          <cell r="Y19">
            <v>8.4900000000000003E-2</v>
          </cell>
          <cell r="Z19">
            <v>8.4900000000000003E-2</v>
          </cell>
          <cell r="AA19">
            <v>8.4900000000000003E-2</v>
          </cell>
          <cell r="AB19">
            <v>8.4900000000000003E-2</v>
          </cell>
          <cell r="AC19">
            <v>8.4900000000000003E-2</v>
          </cell>
          <cell r="AD19">
            <v>8.4900000000000003E-2</v>
          </cell>
          <cell r="AE19">
            <v>8.4900000000000003E-2</v>
          </cell>
          <cell r="AF19">
            <v>8.4900000000000003E-2</v>
          </cell>
          <cell r="AG19">
            <v>8.4900000000000003E-2</v>
          </cell>
          <cell r="AH19">
            <v>8.4900000000000003E-2</v>
          </cell>
          <cell r="AI19">
            <v>8.4900000000000003E-2</v>
          </cell>
          <cell r="AJ19">
            <v>8.4900000000000003E-2</v>
          </cell>
          <cell r="AK19">
            <v>8.4900000000000003E-2</v>
          </cell>
          <cell r="AL19">
            <v>8.4900000000000003E-2</v>
          </cell>
          <cell r="AM19">
            <v>8.4900000000000003E-2</v>
          </cell>
          <cell r="AN19">
            <v>8.4900000000000003E-2</v>
          </cell>
          <cell r="AO19">
            <v>8.4900000000000003E-2</v>
          </cell>
          <cell r="AP19">
            <v>8.4900000000000003E-2</v>
          </cell>
          <cell r="AQ19">
            <v>8.4900000000000003E-2</v>
          </cell>
          <cell r="AR19">
            <v>8.4900000000000003E-2</v>
          </cell>
          <cell r="AS19">
            <v>8.4900000000000003E-2</v>
          </cell>
          <cell r="AT19">
            <v>8.4900000000000003E-2</v>
          </cell>
        </row>
        <row r="20">
          <cell r="E20" t="str">
            <v>Global GDP Growth (%)</v>
          </cell>
          <cell r="F20" t="str">
            <v>[%]</v>
          </cell>
          <cell r="I20">
            <v>0</v>
          </cell>
          <cell r="J20">
            <v>2.3699999999999999E-2</v>
          </cell>
          <cell r="K20">
            <v>2.596E-2</v>
          </cell>
          <cell r="L20">
            <v>1.5779999999999999E-2</v>
          </cell>
          <cell r="M20">
            <v>3.3000000000000002E-2</v>
          </cell>
          <cell r="N20">
            <v>3.4000000000000002E-2</v>
          </cell>
          <cell r="O20">
            <v>3.3000000000000002E-2</v>
          </cell>
          <cell r="P20">
            <v>3.3000000000000002E-2</v>
          </cell>
          <cell r="Q20">
            <v>3.3000000000000002E-2</v>
          </cell>
          <cell r="R20">
            <v>3.3000000000000002E-2</v>
          </cell>
          <cell r="S20">
            <v>3.3000000000000002E-2</v>
          </cell>
          <cell r="T20">
            <v>3.3000000000000002E-2</v>
          </cell>
          <cell r="U20">
            <v>3.3000000000000002E-2</v>
          </cell>
          <cell r="V20">
            <v>3.3000000000000002E-2</v>
          </cell>
          <cell r="W20">
            <v>3.3000000000000002E-2</v>
          </cell>
          <cell r="X20">
            <v>3.3000000000000002E-2</v>
          </cell>
          <cell r="Y20">
            <v>3.3000000000000002E-2</v>
          </cell>
          <cell r="Z20">
            <v>3.3000000000000002E-2</v>
          </cell>
          <cell r="AA20">
            <v>3.3000000000000002E-2</v>
          </cell>
          <cell r="AB20">
            <v>3.3000000000000002E-2</v>
          </cell>
          <cell r="AC20">
            <v>3.3000000000000002E-2</v>
          </cell>
          <cell r="AD20">
            <v>3.3000000000000002E-2</v>
          </cell>
          <cell r="AE20">
            <v>3.3000000000000002E-2</v>
          </cell>
          <cell r="AF20">
            <v>3.3000000000000002E-2</v>
          </cell>
          <cell r="AG20">
            <v>3.3000000000000002E-2</v>
          </cell>
          <cell r="AH20">
            <v>3.3000000000000002E-2</v>
          </cell>
          <cell r="AI20">
            <v>3.3000000000000002E-2</v>
          </cell>
          <cell r="AJ20">
            <v>3.3000000000000002E-2</v>
          </cell>
          <cell r="AK20">
            <v>3.3000000000000002E-2</v>
          </cell>
          <cell r="AL20">
            <v>3.3000000000000002E-2</v>
          </cell>
          <cell r="AM20">
            <v>3.3000000000000002E-2</v>
          </cell>
          <cell r="AN20">
            <v>3.3000000000000002E-2</v>
          </cell>
          <cell r="AO20">
            <v>3.3000000000000002E-2</v>
          </cell>
          <cell r="AP20">
            <v>3.3000000000000002E-2</v>
          </cell>
          <cell r="AQ20">
            <v>3.3000000000000002E-2</v>
          </cell>
          <cell r="AR20">
            <v>3.3000000000000002E-2</v>
          </cell>
          <cell r="AS20">
            <v>3.3000000000000002E-2</v>
          </cell>
          <cell r="AT20">
            <v>3.3000000000000002E-2</v>
          </cell>
        </row>
        <row r="21">
          <cell r="E21" t="str">
            <v>Brazilian GDP Growth (%)</v>
          </cell>
          <cell r="F21" t="str">
            <v>[%]</v>
          </cell>
          <cell r="I21">
            <v>2.2819577594953344E-2</v>
          </cell>
          <cell r="J21">
            <v>1E-3</v>
          </cell>
          <cell r="K21">
            <v>-3.8199999999999998E-2</v>
          </cell>
          <cell r="L21">
            <v>-3.5000000000000003E-2</v>
          </cell>
          <cell r="M21">
            <v>5.1000000000000004E-3</v>
          </cell>
          <cell r="N21">
            <v>2.3599999999999999E-2</v>
          </cell>
          <cell r="O21">
            <v>2.6000000000000002E-2</v>
          </cell>
          <cell r="P21">
            <v>2.5000000000000001E-2</v>
          </cell>
          <cell r="Q21">
            <v>2.5499999999999998E-2</v>
          </cell>
          <cell r="R21">
            <v>2.5499999999999998E-2</v>
          </cell>
          <cell r="S21">
            <v>2.5499999999999998E-2</v>
          </cell>
          <cell r="T21">
            <v>2.5499999999999998E-2</v>
          </cell>
          <cell r="U21">
            <v>2.5499999999999998E-2</v>
          </cell>
          <cell r="V21">
            <v>2.5499999999999998E-2</v>
          </cell>
          <cell r="W21">
            <v>2.5499999999999998E-2</v>
          </cell>
          <cell r="X21">
            <v>2.5499999999999998E-2</v>
          </cell>
          <cell r="Y21">
            <v>2.5499999999999998E-2</v>
          </cell>
          <cell r="Z21">
            <v>2.5499999999999998E-2</v>
          </cell>
          <cell r="AA21">
            <v>2.5499999999999998E-2</v>
          </cell>
          <cell r="AB21">
            <v>2.5499999999999998E-2</v>
          </cell>
          <cell r="AC21">
            <v>2.5499999999999998E-2</v>
          </cell>
          <cell r="AD21">
            <v>2.5499999999999998E-2</v>
          </cell>
          <cell r="AE21">
            <v>2.5499999999999998E-2</v>
          </cell>
          <cell r="AF21">
            <v>2.5499999999999998E-2</v>
          </cell>
          <cell r="AG21">
            <v>2.5499999999999998E-2</v>
          </cell>
          <cell r="AH21">
            <v>2.5499999999999998E-2</v>
          </cell>
          <cell r="AI21">
            <v>2.5499999999999998E-2</v>
          </cell>
          <cell r="AJ21">
            <v>2.5499999999999998E-2</v>
          </cell>
          <cell r="AK21">
            <v>2.5499999999999998E-2</v>
          </cell>
          <cell r="AL21">
            <v>2.5499999999999998E-2</v>
          </cell>
          <cell r="AM21">
            <v>2.5499999999999998E-2</v>
          </cell>
          <cell r="AN21">
            <v>2.5499999999999998E-2</v>
          </cell>
          <cell r="AO21">
            <v>2.5499999999999998E-2</v>
          </cell>
          <cell r="AP21">
            <v>2.5499999999999998E-2</v>
          </cell>
          <cell r="AQ21">
            <v>2.5499999999999998E-2</v>
          </cell>
          <cell r="AR21">
            <v>2.5499999999999998E-2</v>
          </cell>
          <cell r="AS21">
            <v>2.5499999999999998E-2</v>
          </cell>
          <cell r="AT21">
            <v>2.5499999999999998E-2</v>
          </cell>
        </row>
        <row r="23">
          <cell r="E23" t="str">
            <v>Platts Iodex 62%</v>
          </cell>
          <cell r="F23" t="str">
            <v>[US$/t]</v>
          </cell>
          <cell r="I23">
            <v>135.16999999999999</v>
          </cell>
          <cell r="J23">
            <v>96.7</v>
          </cell>
          <cell r="K23">
            <v>55.5</v>
          </cell>
          <cell r="L23">
            <v>58.45</v>
          </cell>
          <cell r="M23">
            <v>69</v>
          </cell>
          <cell r="N23">
            <v>60</v>
          </cell>
          <cell r="O23">
            <v>60</v>
          </cell>
          <cell r="P23">
            <v>60</v>
          </cell>
          <cell r="Q23">
            <v>60</v>
          </cell>
          <cell r="R23">
            <v>60</v>
          </cell>
          <cell r="S23">
            <v>60</v>
          </cell>
          <cell r="T23">
            <v>60</v>
          </cell>
          <cell r="U23">
            <v>60</v>
          </cell>
          <cell r="V23">
            <v>60</v>
          </cell>
          <cell r="W23">
            <v>60</v>
          </cell>
          <cell r="X23">
            <v>60</v>
          </cell>
          <cell r="Y23">
            <v>60</v>
          </cell>
          <cell r="Z23">
            <v>60</v>
          </cell>
          <cell r="AA23">
            <v>60</v>
          </cell>
          <cell r="AB23">
            <v>60</v>
          </cell>
          <cell r="AC23">
            <v>60</v>
          </cell>
          <cell r="AD23">
            <v>60</v>
          </cell>
          <cell r="AE23">
            <v>60</v>
          </cell>
          <cell r="AF23">
            <v>60</v>
          </cell>
          <cell r="AG23">
            <v>60</v>
          </cell>
          <cell r="AH23">
            <v>60</v>
          </cell>
          <cell r="AI23">
            <v>60</v>
          </cell>
          <cell r="AJ23">
            <v>60</v>
          </cell>
          <cell r="AK23">
            <v>60</v>
          </cell>
          <cell r="AL23">
            <v>60</v>
          </cell>
          <cell r="AM23">
            <v>60</v>
          </cell>
          <cell r="AN23">
            <v>60</v>
          </cell>
          <cell r="AO23">
            <v>60</v>
          </cell>
          <cell r="AP23">
            <v>60</v>
          </cell>
          <cell r="AQ23">
            <v>60</v>
          </cell>
          <cell r="AR23">
            <v>60</v>
          </cell>
          <cell r="AS23">
            <v>60</v>
          </cell>
          <cell r="AT23">
            <v>60</v>
          </cell>
        </row>
        <row r="24">
          <cell r="E24" t="str">
            <v>Growth</v>
          </cell>
          <cell r="F24" t="str">
            <v>[%]</v>
          </cell>
          <cell r="N24">
            <v>-0.13043478260869568</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row>
        <row r="26">
          <cell r="A26" t="str">
            <v>x</v>
          </cell>
          <cell r="B26">
            <v>2</v>
          </cell>
          <cell r="E26" t="str">
            <v>Income Statement</v>
          </cell>
          <cell r="I26">
            <v>2013</v>
          </cell>
          <cell r="J26">
            <v>2014</v>
          </cell>
          <cell r="K26">
            <v>2015</v>
          </cell>
          <cell r="L26">
            <v>2016</v>
          </cell>
          <cell r="M26">
            <v>2017</v>
          </cell>
          <cell r="N26">
            <v>2018</v>
          </cell>
          <cell r="O26">
            <v>2019</v>
          </cell>
          <cell r="P26">
            <v>2020</v>
          </cell>
          <cell r="Q26">
            <v>2021</v>
          </cell>
          <cell r="R26">
            <v>2022</v>
          </cell>
          <cell r="S26">
            <v>2023</v>
          </cell>
          <cell r="T26">
            <v>2024</v>
          </cell>
          <cell r="U26">
            <v>2025</v>
          </cell>
          <cell r="V26">
            <v>2026</v>
          </cell>
          <cell r="W26">
            <v>2027</v>
          </cell>
          <cell r="X26">
            <v>2028</v>
          </cell>
          <cell r="Y26">
            <v>2029</v>
          </cell>
          <cell r="Z26">
            <v>2030</v>
          </cell>
          <cell r="AA26">
            <v>2031</v>
          </cell>
          <cell r="AB26">
            <v>2032</v>
          </cell>
          <cell r="AC26">
            <v>2033</v>
          </cell>
          <cell r="AD26">
            <v>2034</v>
          </cell>
          <cell r="AE26">
            <v>2035</v>
          </cell>
          <cell r="AF26">
            <v>2036</v>
          </cell>
          <cell r="AG26">
            <v>2037</v>
          </cell>
          <cell r="AH26">
            <v>2038</v>
          </cell>
          <cell r="AI26">
            <v>2039</v>
          </cell>
          <cell r="AJ26">
            <v>2040</v>
          </cell>
          <cell r="AK26">
            <v>2041</v>
          </cell>
          <cell r="AL26">
            <v>2042</v>
          </cell>
          <cell r="AM26">
            <v>2043</v>
          </cell>
          <cell r="AN26">
            <v>2044</v>
          </cell>
          <cell r="AO26">
            <v>2045</v>
          </cell>
          <cell r="AP26">
            <v>2046</v>
          </cell>
          <cell r="AQ26">
            <v>2047</v>
          </cell>
          <cell r="AR26">
            <v>2048</v>
          </cell>
          <cell r="AS26">
            <v>2049</v>
          </cell>
          <cell r="AT26">
            <v>2050</v>
          </cell>
        </row>
        <row r="28">
          <cell r="E28" t="str">
            <v>Gross Revenues</v>
          </cell>
          <cell r="F28" t="str">
            <v>[R$ '000]</v>
          </cell>
          <cell r="I28">
            <v>572425.94493</v>
          </cell>
          <cell r="J28">
            <v>524310.82520000008</v>
          </cell>
          <cell r="K28">
            <v>374231.11357999995</v>
          </cell>
          <cell r="L28">
            <v>371519.15296999988</v>
          </cell>
          <cell r="M28">
            <v>459958.53799554409</v>
          </cell>
          <cell r="N28">
            <v>482088.40766283456</v>
          </cell>
          <cell r="O28">
            <v>588781.43678220618</v>
          </cell>
          <cell r="P28">
            <v>1321769.2277752541</v>
          </cell>
          <cell r="Q28">
            <v>1317968.3055413826</v>
          </cell>
          <cell r="R28">
            <v>1320556.8155130302</v>
          </cell>
          <cell r="S28">
            <v>1320556.8155130302</v>
          </cell>
          <cell r="T28">
            <v>1320556.8155130299</v>
          </cell>
          <cell r="U28">
            <v>1320556.8155130299</v>
          </cell>
          <cell r="V28">
            <v>1320556.8155130302</v>
          </cell>
          <cell r="W28">
            <v>1320556.8155130302</v>
          </cell>
          <cell r="X28">
            <v>1090231.9309151566</v>
          </cell>
          <cell r="Y28">
            <v>1090158.0647925206</v>
          </cell>
          <cell r="Z28">
            <v>1090158.0647925206</v>
          </cell>
          <cell r="AA28">
            <v>1090158.0647925206</v>
          </cell>
          <cell r="AB28">
            <v>1090158.0647925206</v>
          </cell>
          <cell r="AC28">
            <v>1090158.0647925206</v>
          </cell>
          <cell r="AD28">
            <v>1090158.0647925206</v>
          </cell>
          <cell r="AE28">
            <v>1090158.0647925206</v>
          </cell>
          <cell r="AF28">
            <v>1090158.0647925206</v>
          </cell>
          <cell r="AG28">
            <v>1090158.0647925204</v>
          </cell>
          <cell r="AH28">
            <v>1090158.0647925206</v>
          </cell>
          <cell r="AI28">
            <v>1090158.0647925206</v>
          </cell>
          <cell r="AJ28">
            <v>1110335.3474471674</v>
          </cell>
          <cell r="AK28">
            <v>1003343.223178892</v>
          </cell>
          <cell r="AL28">
            <v>1003343.2231788925</v>
          </cell>
          <cell r="AM28">
            <v>1003343.2231788925</v>
          </cell>
          <cell r="AN28">
            <v>1003343.2231788925</v>
          </cell>
          <cell r="AO28">
            <v>1003343.2231788922</v>
          </cell>
          <cell r="AP28">
            <v>738181.87042891234</v>
          </cell>
          <cell r="AQ28">
            <v>0</v>
          </cell>
          <cell r="AR28">
            <v>0</v>
          </cell>
          <cell r="AS28">
            <v>0</v>
          </cell>
          <cell r="AT28">
            <v>0</v>
          </cell>
        </row>
        <row r="29">
          <cell r="E29" t="str">
            <v>Growth</v>
          </cell>
          <cell r="F29" t="str">
            <v>[%]</v>
          </cell>
          <cell r="I29" t="str">
            <v>n.a.</v>
          </cell>
          <cell r="J29">
            <v>-8.4054750061833383E-2</v>
          </cell>
          <cell r="K29">
            <v>-0.28624187105568866</v>
          </cell>
          <cell r="L29">
            <v>-7.246753440826148E-3</v>
          </cell>
          <cell r="M29">
            <v>0.23804798304082508</v>
          </cell>
          <cell r="N29">
            <v>4.8112748952830353E-2</v>
          </cell>
          <cell r="O29">
            <v>0.22131423909697312</v>
          </cell>
          <cell r="P29">
            <v>1.2449234048528344</v>
          </cell>
          <cell r="Q29">
            <v>-2.875632261668648E-3</v>
          </cell>
          <cell r="R29">
            <v>1.96401534146462E-3</v>
          </cell>
          <cell r="S29">
            <v>0</v>
          </cell>
          <cell r="T29">
            <v>-2.2204460492503131E-16</v>
          </cell>
          <cell r="U29">
            <v>0</v>
          </cell>
          <cell r="V29">
            <v>2.2204460492503131E-16</v>
          </cell>
          <cell r="W29">
            <v>0</v>
          </cell>
          <cell r="X29">
            <v>-0.17441497548016771</v>
          </cell>
          <cell r="Y29">
            <v>-6.7752668529874605E-5</v>
          </cell>
          <cell r="Z29">
            <v>0</v>
          </cell>
          <cell r="AA29">
            <v>0</v>
          </cell>
          <cell r="AB29">
            <v>0</v>
          </cell>
          <cell r="AC29">
            <v>0</v>
          </cell>
          <cell r="AD29">
            <v>0</v>
          </cell>
          <cell r="AE29">
            <v>0</v>
          </cell>
          <cell r="AF29">
            <v>0</v>
          </cell>
          <cell r="AG29">
            <v>-2.2204460492503131E-16</v>
          </cell>
          <cell r="AH29">
            <v>2.2204460492503131E-16</v>
          </cell>
          <cell r="AI29">
            <v>0</v>
          </cell>
          <cell r="AJ29">
            <v>1.8508584494567604E-2</v>
          </cell>
          <cell r="AK29">
            <v>-9.6360189301607613E-2</v>
          </cell>
          <cell r="AL29">
            <v>4.4408920985006262E-16</v>
          </cell>
          <cell r="AM29">
            <v>0</v>
          </cell>
          <cell r="AN29">
            <v>0</v>
          </cell>
          <cell r="AO29">
            <v>-3.3306690738754696E-16</v>
          </cell>
          <cell r="AP29">
            <v>-0.26427781303975839</v>
          </cell>
          <cell r="AQ29">
            <v>-1</v>
          </cell>
          <cell r="AR29" t="str">
            <v>n.a.</v>
          </cell>
          <cell r="AS29" t="str">
            <v>n.a.</v>
          </cell>
          <cell r="AT29" t="str">
            <v>n.a.</v>
          </cell>
        </row>
        <row r="31">
          <cell r="E31" t="str">
            <v>(-) Taxes, royalties and contributions</v>
          </cell>
          <cell r="F31" t="str">
            <v>[R$ '000]</v>
          </cell>
          <cell r="I31">
            <v>-96727.944929999998</v>
          </cell>
          <cell r="J31">
            <v>-87754.825200000079</v>
          </cell>
          <cell r="K31">
            <v>-62780.113579999947</v>
          </cell>
          <cell r="L31">
            <v>-47042.472938354804</v>
          </cell>
          <cell r="M31">
            <v>-50398.763958980438</v>
          </cell>
          <cell r="N31">
            <v>-50972.145843778417</v>
          </cell>
          <cell r="O31">
            <v>-52132.845429396475</v>
          </cell>
          <cell r="P31">
            <v>-89985.193465485296</v>
          </cell>
          <cell r="Q31">
            <v>-89920.577787509494</v>
          </cell>
          <cell r="R31">
            <v>-89973.884787598741</v>
          </cell>
          <cell r="S31">
            <v>-89973.884787598741</v>
          </cell>
          <cell r="T31">
            <v>-89973.884787598741</v>
          </cell>
          <cell r="U31">
            <v>-89973.884787598741</v>
          </cell>
          <cell r="V31">
            <v>-89973.884787598741</v>
          </cell>
          <cell r="W31">
            <v>-89973.884787598741</v>
          </cell>
          <cell r="X31">
            <v>-65001.168494889236</v>
          </cell>
          <cell r="Y31">
            <v>-64992.636963089397</v>
          </cell>
          <cell r="Z31">
            <v>-64992.636963089397</v>
          </cell>
          <cell r="AA31">
            <v>-64992.636963089397</v>
          </cell>
          <cell r="AB31">
            <v>-64992.636963089397</v>
          </cell>
          <cell r="AC31">
            <v>-64992.636963089397</v>
          </cell>
          <cell r="AD31">
            <v>-64992.636963089397</v>
          </cell>
          <cell r="AE31">
            <v>-64992.636963089397</v>
          </cell>
          <cell r="AF31">
            <v>-64992.636963089397</v>
          </cell>
          <cell r="AG31">
            <v>-64992.63696308939</v>
          </cell>
          <cell r="AH31">
            <v>-64992.636963089397</v>
          </cell>
          <cell r="AI31">
            <v>-64992.636963089397</v>
          </cell>
          <cell r="AJ31">
            <v>-39944.390895528399</v>
          </cell>
          <cell r="AK31">
            <v>-25734.861793935164</v>
          </cell>
          <cell r="AL31">
            <v>-25734.861793935175</v>
          </cell>
          <cell r="AM31">
            <v>-25734.861793935175</v>
          </cell>
          <cell r="AN31">
            <v>-25734.861793935175</v>
          </cell>
          <cell r="AO31">
            <v>-25734.861793935172</v>
          </cell>
          <cell r="AP31">
            <v>-18933.708800153549</v>
          </cell>
          <cell r="AQ31">
            <v>0</v>
          </cell>
          <cell r="AR31">
            <v>0</v>
          </cell>
          <cell r="AS31">
            <v>0</v>
          </cell>
          <cell r="AT31">
            <v>0</v>
          </cell>
        </row>
        <row r="32">
          <cell r="E32" t="str">
            <v>Net Revenues</v>
          </cell>
          <cell r="F32" t="str">
            <v>[R$ '000]</v>
          </cell>
          <cell r="I32">
            <v>475698</v>
          </cell>
          <cell r="J32">
            <v>436556</v>
          </cell>
          <cell r="K32">
            <v>311451</v>
          </cell>
          <cell r="L32">
            <v>324476.68003164505</v>
          </cell>
          <cell r="M32">
            <v>409559.77403656364</v>
          </cell>
          <cell r="N32">
            <v>431116.26181905612</v>
          </cell>
          <cell r="O32">
            <v>536648.59135280969</v>
          </cell>
          <cell r="P32">
            <v>1231784.0343097688</v>
          </cell>
          <cell r="Q32">
            <v>1228047.7277538732</v>
          </cell>
          <cell r="R32">
            <v>1230582.9307254315</v>
          </cell>
          <cell r="S32">
            <v>1230582.9307254315</v>
          </cell>
          <cell r="T32">
            <v>1230582.9307254311</v>
          </cell>
          <cell r="U32">
            <v>1230582.9307254311</v>
          </cell>
          <cell r="V32">
            <v>1230582.9307254315</v>
          </cell>
          <cell r="W32">
            <v>1230582.9307254315</v>
          </cell>
          <cell r="X32">
            <v>1025230.7624202673</v>
          </cell>
          <cell r="Y32">
            <v>1025165.4278294313</v>
          </cell>
          <cell r="Z32">
            <v>1025165.4278294313</v>
          </cell>
          <cell r="AA32">
            <v>1025165.4278294313</v>
          </cell>
          <cell r="AB32">
            <v>1025165.4278294313</v>
          </cell>
          <cell r="AC32">
            <v>1025165.4278294313</v>
          </cell>
          <cell r="AD32">
            <v>1025165.4278294313</v>
          </cell>
          <cell r="AE32">
            <v>1025165.4278294313</v>
          </cell>
          <cell r="AF32">
            <v>1025165.4278294313</v>
          </cell>
          <cell r="AG32">
            <v>1025165.427829431</v>
          </cell>
          <cell r="AH32">
            <v>1025165.4278294313</v>
          </cell>
          <cell r="AI32">
            <v>1025165.4278294313</v>
          </cell>
          <cell r="AJ32">
            <v>1070390.9565516389</v>
          </cell>
          <cell r="AK32">
            <v>977608.36138495686</v>
          </cell>
          <cell r="AL32">
            <v>977608.36138495733</v>
          </cell>
          <cell r="AM32">
            <v>977608.36138495733</v>
          </cell>
          <cell r="AN32">
            <v>977608.36138495733</v>
          </cell>
          <cell r="AO32">
            <v>977608.36138495698</v>
          </cell>
          <cell r="AP32">
            <v>719248.16162875877</v>
          </cell>
          <cell r="AQ32">
            <v>0</v>
          </cell>
          <cell r="AR32">
            <v>0</v>
          </cell>
          <cell r="AS32">
            <v>0</v>
          </cell>
          <cell r="AT32">
            <v>0</v>
          </cell>
        </row>
        <row r="33">
          <cell r="E33" t="str">
            <v>(-) COGS</v>
          </cell>
          <cell r="F33" t="str">
            <v>[R$ '000]</v>
          </cell>
          <cell r="I33">
            <v>-129788</v>
          </cell>
          <cell r="J33">
            <v>-134012</v>
          </cell>
          <cell r="K33">
            <v>-141081</v>
          </cell>
          <cell r="L33">
            <v>-156775</v>
          </cell>
          <cell r="M33">
            <v>-173797.43076270548</v>
          </cell>
          <cell r="N33">
            <v>-196986.67792442389</v>
          </cell>
          <cell r="O33">
            <v>-288207.67261883983</v>
          </cell>
          <cell r="P33">
            <v>-660157.09467213578</v>
          </cell>
          <cell r="Q33">
            <v>-661315.53295178828</v>
          </cell>
          <cell r="R33">
            <v>-661320.85460903833</v>
          </cell>
          <cell r="S33">
            <v>-661320.85460903833</v>
          </cell>
          <cell r="T33">
            <v>-661320.85460903833</v>
          </cell>
          <cell r="U33">
            <v>-661320.85460903833</v>
          </cell>
          <cell r="V33">
            <v>-661320.85460903833</v>
          </cell>
          <cell r="W33">
            <v>-661320.85460903833</v>
          </cell>
          <cell r="X33">
            <v>-543057.67753135692</v>
          </cell>
          <cell r="Y33">
            <v>-543052.17398730735</v>
          </cell>
          <cell r="Z33">
            <v>-543052.17398730735</v>
          </cell>
          <cell r="AA33">
            <v>-543052.17398730735</v>
          </cell>
          <cell r="AB33">
            <v>-543052.17398730735</v>
          </cell>
          <cell r="AC33">
            <v>-543052.17398730735</v>
          </cell>
          <cell r="AD33">
            <v>-543052.17398730735</v>
          </cell>
          <cell r="AE33">
            <v>-543052.17398730735</v>
          </cell>
          <cell r="AF33">
            <v>-543052.17398730735</v>
          </cell>
          <cell r="AG33">
            <v>-543052.17398730735</v>
          </cell>
          <cell r="AH33">
            <v>-543052.17398730747</v>
          </cell>
          <cell r="AI33">
            <v>-543052.17398730735</v>
          </cell>
          <cell r="AJ33">
            <v>-647058.31523488392</v>
          </cell>
          <cell r="AK33">
            <v>-648857.97778405074</v>
          </cell>
          <cell r="AL33">
            <v>-648857.97778405098</v>
          </cell>
          <cell r="AM33">
            <v>-648857.97778405098</v>
          </cell>
          <cell r="AN33">
            <v>-648857.97778405098</v>
          </cell>
          <cell r="AO33">
            <v>-648857.97778405086</v>
          </cell>
          <cell r="AP33">
            <v>-498218.92193319945</v>
          </cell>
          <cell r="AQ33">
            <v>0</v>
          </cell>
          <cell r="AR33">
            <v>0</v>
          </cell>
          <cell r="AS33">
            <v>0</v>
          </cell>
          <cell r="AT33">
            <v>0</v>
          </cell>
        </row>
        <row r="34">
          <cell r="E34" t="str">
            <v>Gross Income</v>
          </cell>
          <cell r="F34" t="str">
            <v>[R$ '000]</v>
          </cell>
          <cell r="I34">
            <v>345910</v>
          </cell>
          <cell r="J34">
            <v>302544</v>
          </cell>
          <cell r="K34">
            <v>170370</v>
          </cell>
          <cell r="L34">
            <v>167701.68003164505</v>
          </cell>
          <cell r="M34">
            <v>235762.34327385816</v>
          </cell>
          <cell r="N34">
            <v>234129.58389463223</v>
          </cell>
          <cell r="O34">
            <v>248440.91873396985</v>
          </cell>
          <cell r="P34">
            <v>571626.93963763304</v>
          </cell>
          <cell r="Q34">
            <v>566732.19480208494</v>
          </cell>
          <cell r="R34">
            <v>569262.0761163932</v>
          </cell>
          <cell r="S34">
            <v>569262.0761163932</v>
          </cell>
          <cell r="T34">
            <v>569262.07611639274</v>
          </cell>
          <cell r="U34">
            <v>569262.07611639274</v>
          </cell>
          <cell r="V34">
            <v>569262.0761163932</v>
          </cell>
          <cell r="W34">
            <v>569262.0761163932</v>
          </cell>
          <cell r="X34">
            <v>482173.08488891041</v>
          </cell>
          <cell r="Y34">
            <v>482113.2538421239</v>
          </cell>
          <cell r="Z34">
            <v>482113.2538421239</v>
          </cell>
          <cell r="AA34">
            <v>482113.2538421239</v>
          </cell>
          <cell r="AB34">
            <v>482113.2538421239</v>
          </cell>
          <cell r="AC34">
            <v>482113.2538421239</v>
          </cell>
          <cell r="AD34">
            <v>482113.2538421239</v>
          </cell>
          <cell r="AE34">
            <v>482113.2538421239</v>
          </cell>
          <cell r="AF34">
            <v>482113.2538421239</v>
          </cell>
          <cell r="AG34">
            <v>482113.25384212367</v>
          </cell>
          <cell r="AH34">
            <v>482113.25384212378</v>
          </cell>
          <cell r="AI34">
            <v>482113.2538421239</v>
          </cell>
          <cell r="AJ34">
            <v>423332.64131675498</v>
          </cell>
          <cell r="AK34">
            <v>328750.38360090612</v>
          </cell>
          <cell r="AL34">
            <v>328750.38360090635</v>
          </cell>
          <cell r="AM34">
            <v>328750.38360090635</v>
          </cell>
          <cell r="AN34">
            <v>328750.38360090635</v>
          </cell>
          <cell r="AO34">
            <v>328750.38360090612</v>
          </cell>
          <cell r="AP34">
            <v>221029.23969555931</v>
          </cell>
          <cell r="AQ34">
            <v>0</v>
          </cell>
          <cell r="AR34">
            <v>0</v>
          </cell>
          <cell r="AS34">
            <v>0</v>
          </cell>
          <cell r="AT34">
            <v>0</v>
          </cell>
        </row>
        <row r="35">
          <cell r="E35" t="str">
            <v>Gross Margin</v>
          </cell>
          <cell r="F35" t="str">
            <v>[%]</v>
          </cell>
          <cell r="I35">
            <v>0.72716303200770238</v>
          </cell>
          <cell r="J35">
            <v>0.69302449170324087</v>
          </cell>
          <cell r="K35">
            <v>0.54702023753335194</v>
          </cell>
          <cell r="L35">
            <v>0.51683738879259278</v>
          </cell>
          <cell r="M35">
            <v>0.57564819159415392</v>
          </cell>
          <cell r="N35">
            <v>0.54307759792391874</v>
          </cell>
          <cell r="O35">
            <v>0.46294898139523294</v>
          </cell>
          <cell r="P35">
            <v>0.46406425454113365</v>
          </cell>
          <cell r="Q35">
            <v>0.46149036555659839</v>
          </cell>
          <cell r="R35">
            <v>0.46259545935747043</v>
          </cell>
          <cell r="S35">
            <v>0.46259545935747043</v>
          </cell>
          <cell r="T35">
            <v>0.46259545935747021</v>
          </cell>
          <cell r="U35">
            <v>0.46259545935747021</v>
          </cell>
          <cell r="V35">
            <v>0.46259545935747043</v>
          </cell>
          <cell r="W35">
            <v>0.46259545935747043</v>
          </cell>
          <cell r="X35">
            <v>0.47030688364309514</v>
          </cell>
          <cell r="Y35">
            <v>0.47027849433324698</v>
          </cell>
          <cell r="Z35">
            <v>0.47027849433324698</v>
          </cell>
          <cell r="AA35">
            <v>0.47027849433324698</v>
          </cell>
          <cell r="AB35">
            <v>0.47027849433324698</v>
          </cell>
          <cell r="AC35">
            <v>0.47027849433324698</v>
          </cell>
          <cell r="AD35">
            <v>0.47027849433324698</v>
          </cell>
          <cell r="AE35">
            <v>0.47027849433324698</v>
          </cell>
          <cell r="AF35">
            <v>0.47027849433324698</v>
          </cell>
          <cell r="AG35">
            <v>0.47027849433324687</v>
          </cell>
          <cell r="AH35">
            <v>0.47027849433324687</v>
          </cell>
          <cell r="AI35">
            <v>0.47027849433324698</v>
          </cell>
          <cell r="AJ35">
            <v>0.39549347715021743</v>
          </cell>
          <cell r="AK35">
            <v>0.3362802494192792</v>
          </cell>
          <cell r="AL35">
            <v>0.33628024941927925</v>
          </cell>
          <cell r="AM35">
            <v>0.33628024941927925</v>
          </cell>
          <cell r="AN35">
            <v>0.33628024941927925</v>
          </cell>
          <cell r="AO35">
            <v>0.33628024941927914</v>
          </cell>
          <cell r="AP35">
            <v>0.30730595013970152</v>
          </cell>
          <cell r="AQ35" t="str">
            <v>n.a.</v>
          </cell>
          <cell r="AR35" t="str">
            <v>n.a.</v>
          </cell>
          <cell r="AS35" t="str">
            <v>n.a.</v>
          </cell>
          <cell r="AT35" t="str">
            <v>n.a.</v>
          </cell>
        </row>
        <row r="36">
          <cell r="E36" t="str">
            <v>(-) SG&amp;A</v>
          </cell>
          <cell r="F36" t="str">
            <v>[R$ '000]</v>
          </cell>
          <cell r="I36">
            <v>-7223.4495816842673</v>
          </cell>
          <cell r="J36">
            <v>-7162.4821047380383</v>
          </cell>
          <cell r="K36">
            <v>-6672</v>
          </cell>
          <cell r="L36">
            <v>-9731</v>
          </cell>
          <cell r="M36">
            <v>-9961.2076699999998</v>
          </cell>
          <cell r="N36">
            <v>-9961.2076699999998</v>
          </cell>
          <cell r="O36">
            <v>-9961.2076699999998</v>
          </cell>
          <cell r="P36">
            <v>-9961.2076699999998</v>
          </cell>
          <cell r="Q36">
            <v>-9961.2076699999998</v>
          </cell>
          <cell r="R36">
            <v>-9961.2076699999998</v>
          </cell>
          <cell r="S36">
            <v>-9961.2076699999998</v>
          </cell>
          <cell r="T36">
            <v>-9961.2076699999998</v>
          </cell>
          <cell r="U36">
            <v>-9961.2076699999998</v>
          </cell>
          <cell r="V36">
            <v>-9961.2076699999998</v>
          </cell>
          <cell r="W36">
            <v>-9961.2076699999998</v>
          </cell>
          <cell r="X36">
            <v>-9961.2076699999998</v>
          </cell>
          <cell r="Y36">
            <v>-9961.2076699999998</v>
          </cell>
          <cell r="Z36">
            <v>-9961.2076699999998</v>
          </cell>
          <cell r="AA36">
            <v>-9961.2076699999998</v>
          </cell>
          <cell r="AB36">
            <v>-9961.2076699999998</v>
          </cell>
          <cell r="AC36">
            <v>-9961.2076699999998</v>
          </cell>
          <cell r="AD36">
            <v>-9961.2076699999998</v>
          </cell>
          <cell r="AE36">
            <v>-9961.2076699999998</v>
          </cell>
          <cell r="AF36">
            <v>-9961.2076699999998</v>
          </cell>
          <cell r="AG36">
            <v>-9961.2076699999998</v>
          </cell>
          <cell r="AH36">
            <v>-9961.2076699999998</v>
          </cell>
          <cell r="AI36">
            <v>-9961.2076699999998</v>
          </cell>
          <cell r="AJ36">
            <v>-9961.2076699999998</v>
          </cell>
          <cell r="AK36">
            <v>-9961.2076699999998</v>
          </cell>
          <cell r="AL36">
            <v>-9961.2076699999998</v>
          </cell>
          <cell r="AM36">
            <v>-9961.2076699999998</v>
          </cell>
          <cell r="AN36">
            <v>-9961.2076699999998</v>
          </cell>
          <cell r="AO36">
            <v>-9961.2076699999998</v>
          </cell>
          <cell r="AP36">
            <v>-9961.2076699999998</v>
          </cell>
          <cell r="AQ36">
            <v>0</v>
          </cell>
          <cell r="AR36">
            <v>0</v>
          </cell>
          <cell r="AS36">
            <v>0</v>
          </cell>
          <cell r="AT36">
            <v>0</v>
          </cell>
        </row>
        <row r="37">
          <cell r="E37" t="str">
            <v>(-) Other operating income (expense)</v>
          </cell>
          <cell r="F37" t="str">
            <v>[R$ '000]</v>
          </cell>
          <cell r="I37">
            <v>-4329</v>
          </cell>
          <cell r="J37">
            <v>-922</v>
          </cell>
          <cell r="K37">
            <v>5289</v>
          </cell>
          <cell r="L37">
            <v>2802</v>
          </cell>
          <cell r="M37">
            <v>2801.9999999999995</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row>
        <row r="38">
          <cell r="E38" t="str">
            <v>EBITDA</v>
          </cell>
          <cell r="F38" t="str">
            <v>[R$ '000]</v>
          </cell>
          <cell r="I38">
            <v>334357.55041831575</v>
          </cell>
          <cell r="J38">
            <v>294459.51789526199</v>
          </cell>
          <cell r="K38">
            <v>168987</v>
          </cell>
          <cell r="L38">
            <v>160772.68003164505</v>
          </cell>
          <cell r="M38">
            <v>228603.13560385816</v>
          </cell>
          <cell r="N38">
            <v>224168.37622463223</v>
          </cell>
          <cell r="O38">
            <v>238479.71106396985</v>
          </cell>
          <cell r="P38">
            <v>561665.73196763301</v>
          </cell>
          <cell r="Q38">
            <v>556770.98713208491</v>
          </cell>
          <cell r="R38">
            <v>559300.86844639317</v>
          </cell>
          <cell r="S38">
            <v>559300.86844639317</v>
          </cell>
          <cell r="T38">
            <v>559300.86844639271</v>
          </cell>
          <cell r="U38">
            <v>559300.86844639271</v>
          </cell>
          <cell r="V38">
            <v>559300.86844639317</v>
          </cell>
          <cell r="W38">
            <v>559300.86844639317</v>
          </cell>
          <cell r="X38">
            <v>472211.87721891043</v>
          </cell>
          <cell r="Y38">
            <v>472152.04617212393</v>
          </cell>
          <cell r="Z38">
            <v>472152.04617212393</v>
          </cell>
          <cell r="AA38">
            <v>472152.04617212393</v>
          </cell>
          <cell r="AB38">
            <v>472152.04617212393</v>
          </cell>
          <cell r="AC38">
            <v>472152.04617212393</v>
          </cell>
          <cell r="AD38">
            <v>472152.04617212393</v>
          </cell>
          <cell r="AE38">
            <v>472152.04617212393</v>
          </cell>
          <cell r="AF38">
            <v>472152.04617212393</v>
          </cell>
          <cell r="AG38">
            <v>472152.04617212369</v>
          </cell>
          <cell r="AH38">
            <v>472152.04617212381</v>
          </cell>
          <cell r="AI38">
            <v>472152.04617212393</v>
          </cell>
          <cell r="AJ38">
            <v>413371.433646755</v>
          </cell>
          <cell r="AK38">
            <v>318789.17593090615</v>
          </cell>
          <cell r="AL38">
            <v>318789.17593090638</v>
          </cell>
          <cell r="AM38">
            <v>318789.17593090638</v>
          </cell>
          <cell r="AN38">
            <v>318789.17593090638</v>
          </cell>
          <cell r="AO38">
            <v>318789.17593090615</v>
          </cell>
          <cell r="AP38">
            <v>211068.03202555931</v>
          </cell>
          <cell r="AQ38">
            <v>0</v>
          </cell>
          <cell r="AR38">
            <v>0</v>
          </cell>
          <cell r="AS38">
            <v>0</v>
          </cell>
          <cell r="AT38">
            <v>0</v>
          </cell>
        </row>
        <row r="39">
          <cell r="E39" t="str">
            <v>EBITDA Margin</v>
          </cell>
          <cell r="F39" t="str">
            <v>[%]</v>
          </cell>
          <cell r="I39">
            <v>0.70287777207033819</v>
          </cell>
          <cell r="J39">
            <v>0.6745057172396256</v>
          </cell>
          <cell r="K39">
            <v>0.54257973164317985</v>
          </cell>
          <cell r="L39">
            <v>0.49548300363516251</v>
          </cell>
          <cell r="M39">
            <v>0.5581679405444967</v>
          </cell>
          <cell r="N39">
            <v>0.51997197989881894</v>
          </cell>
          <cell r="O39">
            <v>0.4443870996899455</v>
          </cell>
          <cell r="P39">
            <v>0.45597744111236421</v>
          </cell>
          <cell r="Q39">
            <v>0.45337894818667307</v>
          </cell>
          <cell r="R39">
            <v>0.4545007528397001</v>
          </cell>
          <cell r="S39">
            <v>0.4545007528397001</v>
          </cell>
          <cell r="T39">
            <v>0.45450075283969993</v>
          </cell>
          <cell r="U39">
            <v>0.45450075283969993</v>
          </cell>
          <cell r="V39">
            <v>0.4545007528397001</v>
          </cell>
          <cell r="W39">
            <v>0.4545007528397001</v>
          </cell>
          <cell r="X39">
            <v>0.46059081967474086</v>
          </cell>
          <cell r="Y39">
            <v>0.46056181115257172</v>
          </cell>
          <cell r="Z39">
            <v>0.46056181115257172</v>
          </cell>
          <cell r="AA39">
            <v>0.46056181115257172</v>
          </cell>
          <cell r="AB39">
            <v>0.46056181115257172</v>
          </cell>
          <cell r="AC39">
            <v>0.46056181115257172</v>
          </cell>
          <cell r="AD39">
            <v>0.46056181115257172</v>
          </cell>
          <cell r="AE39">
            <v>0.46056181115257172</v>
          </cell>
          <cell r="AF39">
            <v>0.46056181115257172</v>
          </cell>
          <cell r="AG39">
            <v>0.46056181115257161</v>
          </cell>
          <cell r="AH39">
            <v>0.46056181115257161</v>
          </cell>
          <cell r="AI39">
            <v>0.46056181115257172</v>
          </cell>
          <cell r="AJ39">
            <v>0.38618733754857981</v>
          </cell>
          <cell r="AK39">
            <v>0.32609088518768836</v>
          </cell>
          <cell r="AL39">
            <v>0.32609088518768847</v>
          </cell>
          <cell r="AM39">
            <v>0.32609088518768847</v>
          </cell>
          <cell r="AN39">
            <v>0.32609088518768847</v>
          </cell>
          <cell r="AO39">
            <v>0.32609088518768836</v>
          </cell>
          <cell r="AP39">
            <v>0.29345647759125237</v>
          </cell>
          <cell r="AQ39" t="str">
            <v>n.a.</v>
          </cell>
          <cell r="AR39" t="str">
            <v>n.a.</v>
          </cell>
          <cell r="AS39" t="str">
            <v>n.a.</v>
          </cell>
          <cell r="AT39" t="str">
            <v>n.a.</v>
          </cell>
        </row>
        <row r="40">
          <cell r="E40" t="str">
            <v>Growth</v>
          </cell>
          <cell r="F40" t="str">
            <v>[%]</v>
          </cell>
          <cell r="I40" t="str">
            <v>n.a.</v>
          </cell>
          <cell r="J40">
            <v>-0.119327445942636</v>
          </cell>
          <cell r="K40">
            <v>-0.42611126579339176</v>
          </cell>
          <cell r="L40">
            <v>-4.8609182767638592E-2</v>
          </cell>
          <cell r="M40">
            <v>0.42190287279444472</v>
          </cell>
          <cell r="N40">
            <v>-1.9399381235569946E-2</v>
          </cell>
          <cell r="O40">
            <v>6.3841899024136506E-2</v>
          </cell>
          <cell r="P40">
            <v>1.3551929405725072</v>
          </cell>
          <cell r="Q40">
            <v>-8.7146937350099929E-3</v>
          </cell>
          <cell r="R40">
            <v>4.5438454459338917E-3</v>
          </cell>
          <cell r="S40">
            <v>0</v>
          </cell>
          <cell r="T40">
            <v>-7.7715611723760958E-16</v>
          </cell>
          <cell r="U40">
            <v>0</v>
          </cell>
          <cell r="V40">
            <v>8.8817841970012523E-16</v>
          </cell>
          <cell r="W40">
            <v>0</v>
          </cell>
          <cell r="X40">
            <v>-0.15571045235348113</v>
          </cell>
          <cell r="Y40">
            <v>-1.2670381596258107E-4</v>
          </cell>
          <cell r="Z40">
            <v>0</v>
          </cell>
          <cell r="AA40">
            <v>0</v>
          </cell>
          <cell r="AB40">
            <v>0</v>
          </cell>
          <cell r="AC40">
            <v>0</v>
          </cell>
          <cell r="AD40">
            <v>0</v>
          </cell>
          <cell r="AE40">
            <v>0</v>
          </cell>
          <cell r="AF40">
            <v>0</v>
          </cell>
          <cell r="AG40">
            <v>-4.4408920985006262E-16</v>
          </cell>
          <cell r="AH40">
            <v>2.2204460492503131E-16</v>
          </cell>
          <cell r="AI40">
            <v>2.2204460492503131E-16</v>
          </cell>
          <cell r="AJ40">
            <v>-0.12449509221006394</v>
          </cell>
          <cell r="AK40">
            <v>-0.22880695185307309</v>
          </cell>
          <cell r="AL40">
            <v>6.6613381477509392E-16</v>
          </cell>
          <cell r="AM40">
            <v>0</v>
          </cell>
          <cell r="AN40">
            <v>0</v>
          </cell>
          <cell r="AO40">
            <v>-7.7715611723760958E-16</v>
          </cell>
          <cell r="AP40">
            <v>-0.33790715632294288</v>
          </cell>
          <cell r="AQ40">
            <v>-1</v>
          </cell>
          <cell r="AR40" t="str">
            <v>n.a.</v>
          </cell>
          <cell r="AS40" t="str">
            <v>n.a.</v>
          </cell>
          <cell r="AT40" t="str">
            <v>n.a.</v>
          </cell>
        </row>
        <row r="42">
          <cell r="E42" t="str">
            <v>(-) D&amp;A</v>
          </cell>
          <cell r="F42" t="str">
            <v>[R$ '000]</v>
          </cell>
          <cell r="I42">
            <v>-12801</v>
          </cell>
          <cell r="J42">
            <v>-13867</v>
          </cell>
          <cell r="K42">
            <v>-13435</v>
          </cell>
          <cell r="L42">
            <v>-14487</v>
          </cell>
          <cell r="M42">
            <v>-15642.150000000001</v>
          </cell>
          <cell r="N42">
            <v>-22142.150000000005</v>
          </cell>
          <cell r="O42">
            <v>-28642.150000000009</v>
          </cell>
          <cell r="P42">
            <v>-29142.150000000009</v>
          </cell>
          <cell r="Q42">
            <v>-29642.150000000009</v>
          </cell>
          <cell r="R42">
            <v>-30142.150000000009</v>
          </cell>
          <cell r="S42">
            <v>-30642.150000000009</v>
          </cell>
          <cell r="T42">
            <v>-31142.150000000009</v>
          </cell>
          <cell r="U42">
            <v>-31642.150000000009</v>
          </cell>
          <cell r="V42">
            <v>-32142.150000000009</v>
          </cell>
          <cell r="W42">
            <v>-32642.150000000009</v>
          </cell>
          <cell r="X42">
            <v>-30444.200000000048</v>
          </cell>
          <cell r="Y42">
            <v>-18500.000000000007</v>
          </cell>
          <cell r="Z42">
            <v>-19000.000000000007</v>
          </cell>
          <cell r="AA42">
            <v>-19500.000000000007</v>
          </cell>
          <cell r="AB42">
            <v>-19499.999999999989</v>
          </cell>
          <cell r="AC42">
            <v>-13499.999999999985</v>
          </cell>
          <cell r="AD42">
            <v>-7500</v>
          </cell>
          <cell r="AE42">
            <v>-7500</v>
          </cell>
          <cell r="AF42">
            <v>-7500</v>
          </cell>
          <cell r="AG42">
            <v>-7500</v>
          </cell>
          <cell r="AH42">
            <v>-7500</v>
          </cell>
          <cell r="AI42">
            <v>-7500</v>
          </cell>
          <cell r="AJ42">
            <v>-7500</v>
          </cell>
          <cell r="AK42">
            <v>-7500</v>
          </cell>
          <cell r="AL42">
            <v>-7500</v>
          </cell>
          <cell r="AM42">
            <v>-7500</v>
          </cell>
          <cell r="AN42">
            <v>-7500</v>
          </cell>
          <cell r="AO42">
            <v>-7500</v>
          </cell>
          <cell r="AP42">
            <v>-7500</v>
          </cell>
          <cell r="AQ42">
            <v>0</v>
          </cell>
          <cell r="AR42">
            <v>0</v>
          </cell>
          <cell r="AS42">
            <v>0</v>
          </cell>
          <cell r="AT42">
            <v>0</v>
          </cell>
        </row>
        <row r="44">
          <cell r="E44" t="str">
            <v>EBIT</v>
          </cell>
          <cell r="F44" t="str">
            <v>[R$ '000]</v>
          </cell>
          <cell r="I44">
            <v>321556.55041831575</v>
          </cell>
          <cell r="J44">
            <v>280592.51789526199</v>
          </cell>
          <cell r="K44">
            <v>155552</v>
          </cell>
          <cell r="L44">
            <v>146285.68003164505</v>
          </cell>
          <cell r="M44">
            <v>212960.98560385816</v>
          </cell>
          <cell r="N44">
            <v>202026.22622463224</v>
          </cell>
          <cell r="O44">
            <v>209837.56106396986</v>
          </cell>
          <cell r="P44">
            <v>532523.58196763298</v>
          </cell>
          <cell r="Q44">
            <v>527128.83713208488</v>
          </cell>
          <cell r="R44">
            <v>529158.71844639315</v>
          </cell>
          <cell r="S44">
            <v>528658.71844639315</v>
          </cell>
          <cell r="T44">
            <v>528158.71844639268</v>
          </cell>
          <cell r="U44">
            <v>527658.71844639268</v>
          </cell>
          <cell r="V44">
            <v>527158.71844639315</v>
          </cell>
          <cell r="W44">
            <v>526658.71844639315</v>
          </cell>
          <cell r="X44">
            <v>441767.67721891036</v>
          </cell>
          <cell r="Y44">
            <v>453652.04617212393</v>
          </cell>
          <cell r="Z44">
            <v>453152.04617212393</v>
          </cell>
          <cell r="AA44">
            <v>452652.04617212393</v>
          </cell>
          <cell r="AB44">
            <v>452652.04617212393</v>
          </cell>
          <cell r="AC44">
            <v>458652.04617212393</v>
          </cell>
          <cell r="AD44">
            <v>464652.04617212393</v>
          </cell>
          <cell r="AE44">
            <v>464652.04617212393</v>
          </cell>
          <cell r="AF44">
            <v>464652.04617212393</v>
          </cell>
          <cell r="AG44">
            <v>464652.04617212369</v>
          </cell>
          <cell r="AH44">
            <v>464652.04617212381</v>
          </cell>
          <cell r="AI44">
            <v>464652.04617212393</v>
          </cell>
          <cell r="AJ44">
            <v>405871.433646755</v>
          </cell>
          <cell r="AK44">
            <v>311289.17593090615</v>
          </cell>
          <cell r="AL44">
            <v>311289.17593090638</v>
          </cell>
          <cell r="AM44">
            <v>311289.17593090638</v>
          </cell>
          <cell r="AN44">
            <v>311289.17593090638</v>
          </cell>
          <cell r="AO44">
            <v>311289.17593090615</v>
          </cell>
          <cell r="AP44">
            <v>203568.03202555931</v>
          </cell>
          <cell r="AQ44">
            <v>0</v>
          </cell>
          <cell r="AR44">
            <v>0</v>
          </cell>
          <cell r="AS44">
            <v>0</v>
          </cell>
          <cell r="AT44">
            <v>0</v>
          </cell>
        </row>
        <row r="45">
          <cell r="E45" t="str">
            <v>(+/-) Financial Result</v>
          </cell>
          <cell r="F45" t="str">
            <v>[R$ '000]</v>
          </cell>
          <cell r="I45">
            <v>4424</v>
          </cell>
          <cell r="J45">
            <v>6691</v>
          </cell>
          <cell r="K45">
            <v>4124</v>
          </cell>
          <cell r="L45">
            <v>3361</v>
          </cell>
          <cell r="M45">
            <v>2240.0616095494788</v>
          </cell>
          <cell r="N45">
            <v>-5033.7477770050118</v>
          </cell>
          <cell r="O45">
            <v>-9986.9495316782322</v>
          </cell>
          <cell r="P45">
            <v>-14877.555944447027</v>
          </cell>
          <cell r="Q45">
            <v>-18153.4069192514</v>
          </cell>
          <cell r="R45">
            <v>-16752.6761626076</v>
          </cell>
          <cell r="S45">
            <v>-15363.935900347127</v>
          </cell>
          <cell r="T45">
            <v>-13926.89700918675</v>
          </cell>
          <cell r="U45">
            <v>-12458.810032797461</v>
          </cell>
          <cell r="V45">
            <v>-10959.674971179265</v>
          </cell>
          <cell r="W45">
            <v>-9429.4918243321608</v>
          </cell>
          <cell r="X45">
            <v>-7868.2605922561488</v>
          </cell>
          <cell r="Y45">
            <v>-5083.0610425562172</v>
          </cell>
          <cell r="Z45">
            <v>-4399.5602826958311</v>
          </cell>
          <cell r="AA45">
            <v>-3685.4543224309364</v>
          </cell>
          <cell r="AB45">
            <v>-2940.3002769371324</v>
          </cell>
          <cell r="AC45">
            <v>-2195.1462314433293</v>
          </cell>
          <cell r="AD45">
            <v>-1822.5692086964282</v>
          </cell>
          <cell r="AE45">
            <v>-1822.5692086964309</v>
          </cell>
          <cell r="AF45">
            <v>-1822.5692086964345</v>
          </cell>
          <cell r="AG45">
            <v>-1822.56920869644</v>
          </cell>
          <cell r="AH45">
            <v>-1822.5692086964436</v>
          </cell>
          <cell r="AI45">
            <v>-1822.5692086964468</v>
          </cell>
          <cell r="AJ45">
            <v>-1822.5692086964505</v>
          </cell>
          <cell r="AK45">
            <v>-2097.8086600627166</v>
          </cell>
          <cell r="AL45">
            <v>-1465.8547948774558</v>
          </cell>
          <cell r="AM45">
            <v>-1465.8547948774572</v>
          </cell>
          <cell r="AN45">
            <v>-1465.8547948774594</v>
          </cell>
          <cell r="AO45">
            <v>-1465.8547948774612</v>
          </cell>
          <cell r="AP45">
            <v>-1465.8547948774635</v>
          </cell>
          <cell r="AQ45">
            <v>0</v>
          </cell>
          <cell r="AR45">
            <v>0</v>
          </cell>
          <cell r="AS45">
            <v>0</v>
          </cell>
          <cell r="AT45">
            <v>0</v>
          </cell>
        </row>
        <row r="47">
          <cell r="E47" t="str">
            <v>EBT</v>
          </cell>
          <cell r="F47" t="str">
            <v>[R$ '000]</v>
          </cell>
          <cell r="I47">
            <v>325980.55041831575</v>
          </cell>
          <cell r="J47">
            <v>287283.51789526199</v>
          </cell>
          <cell r="K47">
            <v>159676</v>
          </cell>
          <cell r="L47">
            <v>149646.68003164505</v>
          </cell>
          <cell r="M47">
            <v>215201.04721340764</v>
          </cell>
          <cell r="N47">
            <v>196992.47844762722</v>
          </cell>
          <cell r="O47">
            <v>199850.61153229163</v>
          </cell>
          <cell r="P47">
            <v>517646.02602318593</v>
          </cell>
          <cell r="Q47">
            <v>508975.43021283345</v>
          </cell>
          <cell r="R47">
            <v>512406.04228378553</v>
          </cell>
          <cell r="S47">
            <v>513294.78254604602</v>
          </cell>
          <cell r="T47">
            <v>514231.82143720594</v>
          </cell>
          <cell r="U47">
            <v>515199.90841359523</v>
          </cell>
          <cell r="V47">
            <v>516199.04347521387</v>
          </cell>
          <cell r="W47">
            <v>517229.22662206099</v>
          </cell>
          <cell r="X47">
            <v>433899.41662665422</v>
          </cell>
          <cell r="Y47">
            <v>448568.98512956774</v>
          </cell>
          <cell r="Z47">
            <v>448752.48588942812</v>
          </cell>
          <cell r="AA47">
            <v>448966.59184969298</v>
          </cell>
          <cell r="AB47">
            <v>449711.74589518679</v>
          </cell>
          <cell r="AC47">
            <v>456456.8999406806</v>
          </cell>
          <cell r="AD47">
            <v>462829.4769634275</v>
          </cell>
          <cell r="AE47">
            <v>462829.4769634275</v>
          </cell>
          <cell r="AF47">
            <v>462829.4769634275</v>
          </cell>
          <cell r="AG47">
            <v>462829.47696342727</v>
          </cell>
          <cell r="AH47">
            <v>462829.47696342738</v>
          </cell>
          <cell r="AI47">
            <v>462829.4769634275</v>
          </cell>
          <cell r="AJ47">
            <v>404048.86443805858</v>
          </cell>
          <cell r="AK47">
            <v>309191.36727084342</v>
          </cell>
          <cell r="AL47">
            <v>309823.32113602891</v>
          </cell>
          <cell r="AM47">
            <v>309823.32113602891</v>
          </cell>
          <cell r="AN47">
            <v>309823.32113602891</v>
          </cell>
          <cell r="AO47">
            <v>309823.32113602868</v>
          </cell>
          <cell r="AP47">
            <v>202102.17723068185</v>
          </cell>
          <cell r="AQ47">
            <v>0</v>
          </cell>
          <cell r="AR47">
            <v>0</v>
          </cell>
          <cell r="AS47">
            <v>0</v>
          </cell>
          <cell r="AT47">
            <v>0</v>
          </cell>
        </row>
        <row r="48">
          <cell r="E48" t="str">
            <v>(-) Income Tax Expense</v>
          </cell>
          <cell r="F48" t="str">
            <v>[R$ '000]</v>
          </cell>
          <cell r="I48">
            <v>-107117</v>
          </cell>
          <cell r="J48">
            <v>-95737</v>
          </cell>
          <cell r="K48">
            <v>-46980</v>
          </cell>
          <cell r="L48">
            <v>-41126</v>
          </cell>
          <cell r="M48">
            <v>-73168.356052558593</v>
          </cell>
          <cell r="N48">
            <v>-66977.442672193254</v>
          </cell>
          <cell r="O48">
            <v>-67949.207920979141</v>
          </cell>
          <cell r="P48">
            <v>-175999.64884788319</v>
          </cell>
          <cell r="Q48">
            <v>-173051.64627236334</v>
          </cell>
          <cell r="R48">
            <v>-174218.05437648707</v>
          </cell>
          <cell r="S48">
            <v>-174520.22606565562</v>
          </cell>
          <cell r="T48">
            <v>-174838.81928865</v>
          </cell>
          <cell r="U48">
            <v>-175167.96886062235</v>
          </cell>
          <cell r="V48">
            <v>-175507.67478157268</v>
          </cell>
          <cell r="W48">
            <v>-175857.93705150072</v>
          </cell>
          <cell r="X48">
            <v>-147525.80165306243</v>
          </cell>
          <cell r="Y48">
            <v>-152513.45494405302</v>
          </cell>
          <cell r="Z48">
            <v>-152575.84520240556</v>
          </cell>
          <cell r="AA48">
            <v>-152648.64122889561</v>
          </cell>
          <cell r="AB48">
            <v>-152901.9936043635</v>
          </cell>
          <cell r="AC48">
            <v>-155195.34597983139</v>
          </cell>
          <cell r="AD48">
            <v>-157362.02216756533</v>
          </cell>
          <cell r="AE48">
            <v>-157362.02216756533</v>
          </cell>
          <cell r="AF48">
            <v>-157362.02216756533</v>
          </cell>
          <cell r="AG48">
            <v>-157362.02216756524</v>
          </cell>
          <cell r="AH48">
            <v>-157362.0221675653</v>
          </cell>
          <cell r="AI48">
            <v>-157362.02216756533</v>
          </cell>
          <cell r="AJ48">
            <v>-137376.61390893991</v>
          </cell>
          <cell r="AK48">
            <v>-105125.06487208675</v>
          </cell>
          <cell r="AL48">
            <v>-105339.92918624982</v>
          </cell>
          <cell r="AM48">
            <v>-105339.92918624982</v>
          </cell>
          <cell r="AN48">
            <v>-105339.92918624982</v>
          </cell>
          <cell r="AO48">
            <v>-105339.92918624975</v>
          </cell>
          <cell r="AP48">
            <v>-68714.740258431819</v>
          </cell>
          <cell r="AQ48">
            <v>0</v>
          </cell>
          <cell r="AR48">
            <v>0</v>
          </cell>
          <cell r="AS48">
            <v>0</v>
          </cell>
          <cell r="AT48">
            <v>0</v>
          </cell>
        </row>
        <row r="50">
          <cell r="E50" t="str">
            <v>Net Income</v>
          </cell>
          <cell r="F50" t="str">
            <v>[R$ '000]</v>
          </cell>
          <cell r="I50">
            <v>218863.55041831575</v>
          </cell>
          <cell r="J50">
            <v>191546.51789526199</v>
          </cell>
          <cell r="K50">
            <v>112696</v>
          </cell>
          <cell r="L50">
            <v>108520.68003164505</v>
          </cell>
          <cell r="M50">
            <v>142032.69116084906</v>
          </cell>
          <cell r="N50">
            <v>130015.03577543396</v>
          </cell>
          <cell r="O50">
            <v>131901.4036113125</v>
          </cell>
          <cell r="P50">
            <v>341646.37717530271</v>
          </cell>
          <cell r="Q50">
            <v>335923.78394047008</v>
          </cell>
          <cell r="R50">
            <v>338187.98790729849</v>
          </cell>
          <cell r="S50">
            <v>338774.55648039037</v>
          </cell>
          <cell r="T50">
            <v>339393.00214855594</v>
          </cell>
          <cell r="U50">
            <v>340031.93955297291</v>
          </cell>
          <cell r="V50">
            <v>340691.36869364115</v>
          </cell>
          <cell r="W50">
            <v>341371.28957056027</v>
          </cell>
          <cell r="X50">
            <v>286373.61497359176</v>
          </cell>
          <cell r="Y50">
            <v>296055.53018551471</v>
          </cell>
          <cell r="Z50">
            <v>296176.64068702259</v>
          </cell>
          <cell r="AA50">
            <v>296317.95062079735</v>
          </cell>
          <cell r="AB50">
            <v>296809.75229082326</v>
          </cell>
          <cell r="AC50">
            <v>301261.55396084918</v>
          </cell>
          <cell r="AD50">
            <v>305467.4547958622</v>
          </cell>
          <cell r="AE50">
            <v>305467.4547958622</v>
          </cell>
          <cell r="AF50">
            <v>305467.4547958622</v>
          </cell>
          <cell r="AG50">
            <v>305467.45479586202</v>
          </cell>
          <cell r="AH50">
            <v>305467.45479586208</v>
          </cell>
          <cell r="AI50">
            <v>305467.4547958622</v>
          </cell>
          <cell r="AJ50">
            <v>266672.2505291187</v>
          </cell>
          <cell r="AK50">
            <v>204066.30239875667</v>
          </cell>
          <cell r="AL50">
            <v>204483.39194977909</v>
          </cell>
          <cell r="AM50">
            <v>204483.39194977909</v>
          </cell>
          <cell r="AN50">
            <v>204483.39194977909</v>
          </cell>
          <cell r="AO50">
            <v>204483.39194977895</v>
          </cell>
          <cell r="AP50">
            <v>133387.43697225003</v>
          </cell>
          <cell r="AQ50">
            <v>0</v>
          </cell>
          <cell r="AR50">
            <v>0</v>
          </cell>
          <cell r="AS50">
            <v>0</v>
          </cell>
          <cell r="AT50">
            <v>0</v>
          </cell>
        </row>
        <row r="51">
          <cell r="E51" t="str">
            <v>Net Margin</v>
          </cell>
          <cell r="F51" t="str">
            <v>[%]</v>
          </cell>
          <cell r="I51">
            <v>0.46008928021205836</v>
          </cell>
          <cell r="J51">
            <v>0.43876734690454833</v>
          </cell>
          <cell r="K51">
            <v>0.36184183065714992</v>
          </cell>
          <cell r="L51">
            <v>0.33444831850800932</v>
          </cell>
          <cell r="M51">
            <v>0.34679355777789111</v>
          </cell>
          <cell r="N51">
            <v>0.30157766544654863</v>
          </cell>
          <cell r="O51">
            <v>0.24578729123057805</v>
          </cell>
          <cell r="P51">
            <v>0.2773589912348105</v>
          </cell>
          <cell r="Q51">
            <v>0.27354293839611771</v>
          </cell>
          <cell r="R51">
            <v>0.27481933924431723</v>
          </cell>
          <cell r="S51">
            <v>0.27529599836126606</v>
          </cell>
          <cell r="T51">
            <v>0.2757985615390286</v>
          </cell>
          <cell r="U51">
            <v>0.27631777677309682</v>
          </cell>
          <cell r="V51">
            <v>0.27685364406347063</v>
          </cell>
          <cell r="W51">
            <v>0.27740616341014995</v>
          </cell>
          <cell r="X51">
            <v>0.27932600685678621</v>
          </cell>
          <cell r="Y51">
            <v>0.28878805522377887</v>
          </cell>
          <cell r="Z51">
            <v>0.28890619274404655</v>
          </cell>
          <cell r="AA51">
            <v>0.2890440338474809</v>
          </cell>
          <cell r="AB51">
            <v>0.28952376292990539</v>
          </cell>
          <cell r="AC51">
            <v>0.29386628321899827</v>
          </cell>
          <cell r="AD51">
            <v>0.29796893896687898</v>
          </cell>
          <cell r="AE51">
            <v>0.29796893896687898</v>
          </cell>
          <cell r="AF51">
            <v>0.29796893896687898</v>
          </cell>
          <cell r="AG51">
            <v>0.29796893896687887</v>
          </cell>
          <cell r="AH51">
            <v>0.29796893896687887</v>
          </cell>
          <cell r="AI51">
            <v>0.29796893896687898</v>
          </cell>
          <cell r="AJ51">
            <v>0.24913537329222907</v>
          </cell>
          <cell r="AK51">
            <v>0.20874034067145283</v>
          </cell>
          <cell r="AL51">
            <v>0.20916698345346776</v>
          </cell>
          <cell r="AM51">
            <v>0.20916698345346776</v>
          </cell>
          <cell r="AN51">
            <v>0.20916698345346776</v>
          </cell>
          <cell r="AO51">
            <v>0.20916698345346768</v>
          </cell>
          <cell r="AP51">
            <v>0.18545398387976442</v>
          </cell>
          <cell r="AQ51" t="str">
            <v>n.a.</v>
          </cell>
          <cell r="AR51" t="str">
            <v>n.a.</v>
          </cell>
          <cell r="AS51" t="str">
            <v>n.a.</v>
          </cell>
          <cell r="AT51" t="str">
            <v>n.a.</v>
          </cell>
        </row>
        <row r="52">
          <cell r="E52" t="str">
            <v>Growth</v>
          </cell>
          <cell r="F52" t="str">
            <v>[%]</v>
          </cell>
          <cell r="I52" t="str">
            <v>n.a.</v>
          </cell>
          <cell r="J52">
            <v>-0.12481307404016106</v>
          </cell>
          <cell r="K52">
            <v>-0.41165205591666043</v>
          </cell>
          <cell r="L52">
            <v>-3.7049406974115739E-2</v>
          </cell>
          <cell r="M52">
            <v>0.30880760348563774</v>
          </cell>
          <cell r="N52">
            <v>-8.4611896649943508E-2</v>
          </cell>
          <cell r="O52">
            <v>1.4508843724326814E-2</v>
          </cell>
          <cell r="P52">
            <v>1.5901648338941667</v>
          </cell>
          <cell r="Q52">
            <v>-1.6750048053037925E-2</v>
          </cell>
          <cell r="R52">
            <v>6.7402311925304215E-3</v>
          </cell>
          <cell r="S52">
            <v>1.7344453205494492E-3</v>
          </cell>
          <cell r="T52">
            <v>1.8255375332514312E-3</v>
          </cell>
          <cell r="U52">
            <v>1.8825886225470878E-3</v>
          </cell>
          <cell r="V52">
            <v>1.9393152935431868E-3</v>
          </cell>
          <cell r="W52">
            <v>1.9957091355915502E-3</v>
          </cell>
          <cell r="X52">
            <v>-0.16110808459069514</v>
          </cell>
          <cell r="Y52">
            <v>3.3808684549432977E-2</v>
          </cell>
          <cell r="Z52">
            <v>4.090803554048783E-4</v>
          </cell>
          <cell r="AA52">
            <v>4.7711370298131328E-4</v>
          </cell>
          <cell r="AB52">
            <v>1.659709339226989E-3</v>
          </cell>
          <cell r="AC52">
            <v>1.4998838938633963E-2</v>
          </cell>
          <cell r="AD52">
            <v>1.3960961097477353E-2</v>
          </cell>
          <cell r="AE52">
            <v>0</v>
          </cell>
          <cell r="AF52">
            <v>0</v>
          </cell>
          <cell r="AG52">
            <v>-5.5511151231257827E-16</v>
          </cell>
          <cell r="AH52">
            <v>2.2204460492503131E-16</v>
          </cell>
          <cell r="AI52">
            <v>4.4408920985006262E-16</v>
          </cell>
          <cell r="AJ52">
            <v>-0.12700274172471027</v>
          </cell>
          <cell r="AK52">
            <v>-0.23476738958081389</v>
          </cell>
          <cell r="AL52">
            <v>2.0438923336172365E-3</v>
          </cell>
          <cell r="AM52">
            <v>0</v>
          </cell>
          <cell r="AN52">
            <v>0</v>
          </cell>
          <cell r="AO52">
            <v>-6.6613381477509392E-16</v>
          </cell>
          <cell r="AP52">
            <v>-0.34768571813886018</v>
          </cell>
          <cell r="AQ52">
            <v>-1</v>
          </cell>
          <cell r="AR52" t="str">
            <v>n.a.</v>
          </cell>
          <cell r="AS52" t="str">
            <v>n.a.</v>
          </cell>
          <cell r="AT52" t="str">
            <v>n.a.</v>
          </cell>
        </row>
        <row r="54">
          <cell r="A54" t="str">
            <v>x</v>
          </cell>
          <cell r="B54">
            <v>3</v>
          </cell>
          <cell r="E54" t="str">
            <v>Balance sheet</v>
          </cell>
          <cell r="I54">
            <v>2013</v>
          </cell>
          <cell r="J54">
            <v>2014</v>
          </cell>
          <cell r="K54">
            <v>2015</v>
          </cell>
          <cell r="L54">
            <v>2016</v>
          </cell>
          <cell r="M54">
            <v>2017</v>
          </cell>
          <cell r="N54">
            <v>2018</v>
          </cell>
          <cell r="O54">
            <v>2019</v>
          </cell>
          <cell r="P54">
            <v>2020</v>
          </cell>
          <cell r="Q54">
            <v>2021</v>
          </cell>
          <cell r="R54">
            <v>2022</v>
          </cell>
          <cell r="S54">
            <v>2023</v>
          </cell>
          <cell r="T54">
            <v>2024</v>
          </cell>
          <cell r="U54">
            <v>2025</v>
          </cell>
          <cell r="V54">
            <v>2026</v>
          </cell>
          <cell r="W54">
            <v>2027</v>
          </cell>
          <cell r="X54">
            <v>2028</v>
          </cell>
          <cell r="Y54">
            <v>2029</v>
          </cell>
          <cell r="Z54">
            <v>2030</v>
          </cell>
          <cell r="AA54">
            <v>2031</v>
          </cell>
          <cell r="AB54">
            <v>2032</v>
          </cell>
          <cell r="AC54">
            <v>2033</v>
          </cell>
          <cell r="AD54">
            <v>2034</v>
          </cell>
          <cell r="AE54">
            <v>2035</v>
          </cell>
          <cell r="AF54">
            <v>2036</v>
          </cell>
          <cell r="AG54">
            <v>2037</v>
          </cell>
          <cell r="AH54">
            <v>2038</v>
          </cell>
          <cell r="AI54">
            <v>2039</v>
          </cell>
          <cell r="AJ54">
            <v>2040</v>
          </cell>
          <cell r="AK54">
            <v>2041</v>
          </cell>
          <cell r="AL54">
            <v>2042</v>
          </cell>
          <cell r="AM54">
            <v>2043</v>
          </cell>
          <cell r="AN54">
            <v>2044</v>
          </cell>
          <cell r="AO54">
            <v>2045</v>
          </cell>
          <cell r="AP54">
            <v>2046</v>
          </cell>
          <cell r="AQ54">
            <v>2047</v>
          </cell>
          <cell r="AR54">
            <v>2048</v>
          </cell>
          <cell r="AS54">
            <v>2049</v>
          </cell>
          <cell r="AT54">
            <v>2050</v>
          </cell>
        </row>
        <row r="56">
          <cell r="E56" t="str">
            <v>Total Assets</v>
          </cell>
          <cell r="F56" t="str">
            <v>[R$'000]</v>
          </cell>
          <cell r="I56">
            <v>445638</v>
          </cell>
          <cell r="J56">
            <v>408731</v>
          </cell>
          <cell r="K56">
            <v>397547</v>
          </cell>
          <cell r="L56">
            <v>318144</v>
          </cell>
          <cell r="M56">
            <v>286899.77291630366</v>
          </cell>
          <cell r="N56">
            <v>370258.40503961925</v>
          </cell>
          <cell r="O56">
            <v>472861.67662657</v>
          </cell>
          <cell r="P56">
            <v>617837.64331574901</v>
          </cell>
          <cell r="Q56">
            <v>595567.70742495358</v>
          </cell>
          <cell r="R56">
            <v>573204.68183979555</v>
          </cell>
          <cell r="S56">
            <v>550062.53183979553</v>
          </cell>
          <cell r="T56">
            <v>526420.3818397955</v>
          </cell>
          <cell r="U56">
            <v>502278.23183979548</v>
          </cell>
          <cell r="V56">
            <v>477636.08183979546</v>
          </cell>
          <cell r="W56">
            <v>452493.93183979543</v>
          </cell>
          <cell r="X56">
            <v>378289.88768119714</v>
          </cell>
          <cell r="Y56">
            <v>367281.38954835542</v>
          </cell>
          <cell r="Z56">
            <v>355781.38954835542</v>
          </cell>
          <cell r="AA56">
            <v>343781.38954835542</v>
          </cell>
          <cell r="AB56">
            <v>331781.38954835542</v>
          </cell>
          <cell r="AC56">
            <v>325781.38954835548</v>
          </cell>
          <cell r="AD56">
            <v>325781.38954835548</v>
          </cell>
          <cell r="AE56">
            <v>325781.38954835548</v>
          </cell>
          <cell r="AF56">
            <v>325781.38954835548</v>
          </cell>
          <cell r="AG56">
            <v>325781.38954835542</v>
          </cell>
          <cell r="AH56">
            <v>325781.38954835548</v>
          </cell>
          <cell r="AI56">
            <v>325781.38954835548</v>
          </cell>
          <cell r="AJ56">
            <v>356026.53401386598</v>
          </cell>
          <cell r="AK56">
            <v>346296.16336729599</v>
          </cell>
          <cell r="AL56">
            <v>346296.16336729605</v>
          </cell>
          <cell r="AM56">
            <v>346296.16336729605</v>
          </cell>
          <cell r="AN56">
            <v>346296.16336729605</v>
          </cell>
          <cell r="AO56">
            <v>346296.16336729605</v>
          </cell>
          <cell r="AP56">
            <v>292938.11161023565</v>
          </cell>
          <cell r="AQ56">
            <v>196882.20260463603</v>
          </cell>
          <cell r="AR56">
            <v>196882.20260463603</v>
          </cell>
          <cell r="AS56">
            <v>196882.20260463603</v>
          </cell>
          <cell r="AT56">
            <v>196882.20260463603</v>
          </cell>
        </row>
        <row r="58">
          <cell r="E58" t="str">
            <v>Current Assets</v>
          </cell>
          <cell r="F58" t="str">
            <v>[R$'000]</v>
          </cell>
          <cell r="I58">
            <v>200039</v>
          </cell>
          <cell r="J58">
            <v>160025</v>
          </cell>
          <cell r="K58">
            <v>140860</v>
          </cell>
          <cell r="L58">
            <v>110671</v>
          </cell>
          <cell r="M58">
            <v>87525.165687170389</v>
          </cell>
          <cell r="N58">
            <v>95466.338391853089</v>
          </cell>
          <cell r="O58">
            <v>128977.2706733544</v>
          </cell>
          <cell r="P58">
            <v>294639.26797431795</v>
          </cell>
          <cell r="Q58">
            <v>294508.50424504891</v>
          </cell>
          <cell r="R58">
            <v>294787.61498023622</v>
          </cell>
          <cell r="S58">
            <v>294787.61498023622</v>
          </cell>
          <cell r="T58">
            <v>294787.61498023616</v>
          </cell>
          <cell r="U58">
            <v>294787.61498023616</v>
          </cell>
          <cell r="V58">
            <v>294787.61498023622</v>
          </cell>
          <cell r="W58">
            <v>294787.61498023622</v>
          </cell>
          <cell r="X58">
            <v>243831.77375809025</v>
          </cell>
          <cell r="Y58">
            <v>243823.28977245468</v>
          </cell>
          <cell r="Z58">
            <v>243823.28977245468</v>
          </cell>
          <cell r="AA58">
            <v>243823.28977245468</v>
          </cell>
          <cell r="AB58">
            <v>243823.28977245468</v>
          </cell>
          <cell r="AC58">
            <v>243823.28977245468</v>
          </cell>
          <cell r="AD58">
            <v>243823.28977245468</v>
          </cell>
          <cell r="AE58">
            <v>243823.28977245468</v>
          </cell>
          <cell r="AF58">
            <v>243823.28977245468</v>
          </cell>
          <cell r="AG58">
            <v>243823.28977245465</v>
          </cell>
          <cell r="AH58">
            <v>243823.28977245471</v>
          </cell>
          <cell r="AI58">
            <v>243823.28977245468</v>
          </cell>
          <cell r="AJ58">
            <v>273801.07990900474</v>
          </cell>
          <cell r="AK58">
            <v>264066.08311663783</v>
          </cell>
          <cell r="AL58">
            <v>264066.08311663789</v>
          </cell>
          <cell r="AM58">
            <v>264066.08311663789</v>
          </cell>
          <cell r="AN58">
            <v>264066.08311663789</v>
          </cell>
          <cell r="AO58">
            <v>264066.08311663789</v>
          </cell>
          <cell r="AP58">
            <v>211095.25852913829</v>
          </cell>
          <cell r="AQ58">
            <v>116320.05260463628</v>
          </cell>
          <cell r="AR58">
            <v>116320.05260463628</v>
          </cell>
          <cell r="AS58">
            <v>116320.05260463628</v>
          </cell>
          <cell r="AT58">
            <v>116320.05260463628</v>
          </cell>
        </row>
        <row r="59">
          <cell r="E59" t="str">
            <v>Cash and Cash Equivalents</v>
          </cell>
          <cell r="F59" t="str">
            <v>[R$'000]</v>
          </cell>
          <cell r="I59">
            <v>112583</v>
          </cell>
          <cell r="J59">
            <v>52503</v>
          </cell>
          <cell r="K59">
            <v>13687</v>
          </cell>
          <cell r="L59">
            <v>36359</v>
          </cell>
          <cell r="M59">
            <v>15313.219869392109</v>
          </cell>
          <cell r="N59">
            <v>17245.657132868655</v>
          </cell>
          <cell r="O59">
            <v>24847.40669073665</v>
          </cell>
          <cell r="P59">
            <v>55843.19186184468</v>
          </cell>
          <cell r="Q59">
            <v>55939.728385149036</v>
          </cell>
          <cell r="R59">
            <v>55940.17185658653</v>
          </cell>
          <cell r="S59">
            <v>55940.17185658653</v>
          </cell>
          <cell r="T59">
            <v>55940.17185658653</v>
          </cell>
          <cell r="U59">
            <v>55940.17185658653</v>
          </cell>
          <cell r="V59">
            <v>55940.17185658653</v>
          </cell>
          <cell r="W59">
            <v>55940.17185658653</v>
          </cell>
          <cell r="X59">
            <v>46084.907100113109</v>
          </cell>
          <cell r="Y59">
            <v>46084.448471442214</v>
          </cell>
          <cell r="Z59">
            <v>46084.448471442214</v>
          </cell>
          <cell r="AA59">
            <v>46084.448471442214</v>
          </cell>
          <cell r="AB59">
            <v>46084.448471442214</v>
          </cell>
          <cell r="AC59">
            <v>46084.448471442214</v>
          </cell>
          <cell r="AD59">
            <v>46084.448471442214</v>
          </cell>
          <cell r="AE59">
            <v>46084.448471442214</v>
          </cell>
          <cell r="AF59">
            <v>46084.448471442214</v>
          </cell>
          <cell r="AG59">
            <v>46084.448471442214</v>
          </cell>
          <cell r="AH59">
            <v>46084.448471442214</v>
          </cell>
          <cell r="AI59">
            <v>46084.448471442214</v>
          </cell>
          <cell r="AJ59">
            <v>54751.626908740262</v>
          </cell>
          <cell r="AK59">
            <v>54901.598787837545</v>
          </cell>
          <cell r="AL59">
            <v>54901.598787837545</v>
          </cell>
          <cell r="AM59">
            <v>54901.598787837545</v>
          </cell>
          <cell r="AN59">
            <v>54901.598787837545</v>
          </cell>
          <cell r="AO59">
            <v>54901.598787837545</v>
          </cell>
          <cell r="AP59">
            <v>53931.377533112944</v>
          </cell>
          <cell r="AQ59">
            <v>116320.05260463628</v>
          </cell>
          <cell r="AR59">
            <v>116320.05260463628</v>
          </cell>
          <cell r="AS59">
            <v>116320.05260463628</v>
          </cell>
          <cell r="AT59">
            <v>116320.05260463628</v>
          </cell>
        </row>
        <row r="60">
          <cell r="E60" t="str">
            <v>Accounts Receivable</v>
          </cell>
          <cell r="F60" t="str">
            <v>[R$'000]</v>
          </cell>
          <cell r="I60">
            <v>78562</v>
          </cell>
          <cell r="J60">
            <v>41376</v>
          </cell>
          <cell r="K60">
            <v>85376</v>
          </cell>
          <cell r="L60">
            <v>49660</v>
          </cell>
          <cell r="M60">
            <v>44883.262908116565</v>
          </cell>
          <cell r="N60">
            <v>47245.617733595194</v>
          </cell>
          <cell r="O60">
            <v>58810.804531814763</v>
          </cell>
          <cell r="P60">
            <v>134990.03115723495</v>
          </cell>
          <cell r="Q60">
            <v>134580.57290453406</v>
          </cell>
          <cell r="R60">
            <v>134858.40336717057</v>
          </cell>
          <cell r="S60">
            <v>134858.40336717057</v>
          </cell>
          <cell r="T60">
            <v>134858.40336717054</v>
          </cell>
          <cell r="U60">
            <v>134858.40336717054</v>
          </cell>
          <cell r="V60">
            <v>134858.40336717057</v>
          </cell>
          <cell r="W60">
            <v>134858.40336717057</v>
          </cell>
          <cell r="X60">
            <v>112354.05615564573</v>
          </cell>
          <cell r="Y60">
            <v>112346.89620048561</v>
          </cell>
          <cell r="Z60">
            <v>112346.89620048561</v>
          </cell>
          <cell r="AA60">
            <v>112346.89620048561</v>
          </cell>
          <cell r="AB60">
            <v>112346.89620048561</v>
          </cell>
          <cell r="AC60">
            <v>112346.89620048561</v>
          </cell>
          <cell r="AD60">
            <v>112346.89620048561</v>
          </cell>
          <cell r="AE60">
            <v>112346.89620048561</v>
          </cell>
          <cell r="AF60">
            <v>112346.89620048561</v>
          </cell>
          <cell r="AG60">
            <v>112346.89620048559</v>
          </cell>
          <cell r="AH60">
            <v>112346.89620048561</v>
          </cell>
          <cell r="AI60">
            <v>112346.89620048561</v>
          </cell>
          <cell r="AJ60">
            <v>117303.11852620701</v>
          </cell>
          <cell r="AK60">
            <v>107135.16289150213</v>
          </cell>
          <cell r="AL60">
            <v>107135.16289150217</v>
          </cell>
          <cell r="AM60">
            <v>107135.16289150217</v>
          </cell>
          <cell r="AN60">
            <v>107135.16289150217</v>
          </cell>
          <cell r="AO60">
            <v>107135.16289150213</v>
          </cell>
          <cell r="AP60">
            <v>78821.716342877669</v>
          </cell>
          <cell r="AQ60">
            <v>0</v>
          </cell>
          <cell r="AR60">
            <v>0</v>
          </cell>
          <cell r="AS60">
            <v>0</v>
          </cell>
          <cell r="AT60">
            <v>0</v>
          </cell>
        </row>
        <row r="61">
          <cell r="E61" t="str">
            <v>Inventories</v>
          </cell>
          <cell r="F61" t="str">
            <v>[R$'000]</v>
          </cell>
          <cell r="I61">
            <v>6371</v>
          </cell>
          <cell r="J61">
            <v>9880</v>
          </cell>
          <cell r="K61">
            <v>15393</v>
          </cell>
          <cell r="L61">
            <v>10194</v>
          </cell>
          <cell r="M61">
            <v>11300.851597480589</v>
          </cell>
          <cell r="N61">
            <v>12808.688851931602</v>
          </cell>
          <cell r="O61">
            <v>18740.162747099046</v>
          </cell>
          <cell r="P61">
            <v>42925.475510047843</v>
          </cell>
          <cell r="Q61">
            <v>43000.800783993167</v>
          </cell>
          <cell r="R61">
            <v>43001.146814763422</v>
          </cell>
          <cell r="S61">
            <v>43001.146814763422</v>
          </cell>
          <cell r="T61">
            <v>43001.146814763422</v>
          </cell>
          <cell r="U61">
            <v>43001.146814763422</v>
          </cell>
          <cell r="V61">
            <v>43001.146814763422</v>
          </cell>
          <cell r="W61">
            <v>43001.146814763422</v>
          </cell>
          <cell r="X61">
            <v>35311.305786985504</v>
          </cell>
          <cell r="Y61">
            <v>35310.947929367634</v>
          </cell>
          <cell r="Z61">
            <v>35310.947929367634</v>
          </cell>
          <cell r="AA61">
            <v>35310.947929367634</v>
          </cell>
          <cell r="AB61">
            <v>35310.947929367634</v>
          </cell>
          <cell r="AC61">
            <v>35310.947929367634</v>
          </cell>
          <cell r="AD61">
            <v>35310.947929367634</v>
          </cell>
          <cell r="AE61">
            <v>35310.947929367634</v>
          </cell>
          <cell r="AF61">
            <v>35310.947929367634</v>
          </cell>
          <cell r="AG61">
            <v>35310.947929367634</v>
          </cell>
          <cell r="AH61">
            <v>35310.947929367634</v>
          </cell>
          <cell r="AI61">
            <v>35310.947929367634</v>
          </cell>
          <cell r="AJ61">
            <v>42073.751972600265</v>
          </cell>
          <cell r="AK61">
            <v>42190.771650649738</v>
          </cell>
          <cell r="AL61">
            <v>42190.771650649753</v>
          </cell>
          <cell r="AM61">
            <v>42190.771650649753</v>
          </cell>
          <cell r="AN61">
            <v>42190.771650649753</v>
          </cell>
          <cell r="AO61">
            <v>42190.771650649745</v>
          </cell>
          <cell r="AP61">
            <v>32395.749897541285</v>
          </cell>
          <cell r="AQ61">
            <v>0</v>
          </cell>
          <cell r="AR61">
            <v>0</v>
          </cell>
          <cell r="AS61">
            <v>0</v>
          </cell>
          <cell r="AT61">
            <v>0</v>
          </cell>
        </row>
        <row r="62">
          <cell r="E62" t="str">
            <v>Advances to Related Parties</v>
          </cell>
          <cell r="F62" t="str">
            <v>[R$'000]</v>
          </cell>
          <cell r="I62">
            <v>0</v>
          </cell>
          <cell r="J62">
            <v>55456</v>
          </cell>
          <cell r="K62">
            <v>19382</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row>
        <row r="63">
          <cell r="E63" t="str">
            <v>Recoverable Taxes</v>
          </cell>
          <cell r="F63" t="str">
            <v>[R$'000]</v>
          </cell>
          <cell r="I63">
            <v>2523</v>
          </cell>
          <cell r="J63">
            <v>810</v>
          </cell>
          <cell r="K63">
            <v>7022</v>
          </cell>
          <cell r="L63">
            <v>14458</v>
          </cell>
          <cell r="M63">
            <v>16027.831312181122</v>
          </cell>
          <cell r="N63">
            <v>18166.374673457634</v>
          </cell>
          <cell r="O63">
            <v>26578.89670370394</v>
          </cell>
          <cell r="P63">
            <v>60880.569445190486</v>
          </cell>
          <cell r="Q63">
            <v>60987.402171372691</v>
          </cell>
          <cell r="R63">
            <v>60987.892941715683</v>
          </cell>
          <cell r="S63">
            <v>60987.892941715683</v>
          </cell>
          <cell r="T63">
            <v>60987.892941715683</v>
          </cell>
          <cell r="U63">
            <v>60987.892941715683</v>
          </cell>
          <cell r="V63">
            <v>60987.892941715683</v>
          </cell>
          <cell r="W63">
            <v>60987.892941715683</v>
          </cell>
          <cell r="X63">
            <v>50081.504715345924</v>
          </cell>
          <cell r="Y63">
            <v>50080.99717115923</v>
          </cell>
          <cell r="Z63">
            <v>50080.99717115923</v>
          </cell>
          <cell r="AA63">
            <v>50080.99717115923</v>
          </cell>
          <cell r="AB63">
            <v>50080.99717115923</v>
          </cell>
          <cell r="AC63">
            <v>50080.99717115923</v>
          </cell>
          <cell r="AD63">
            <v>50080.99717115923</v>
          </cell>
          <cell r="AE63">
            <v>50080.99717115923</v>
          </cell>
          <cell r="AF63">
            <v>50080.99717115923</v>
          </cell>
          <cell r="AG63">
            <v>50080.99717115923</v>
          </cell>
          <cell r="AH63">
            <v>50080.997171159244</v>
          </cell>
          <cell r="AI63">
            <v>50080.99717115923</v>
          </cell>
          <cell r="AJ63">
            <v>59672.582501457189</v>
          </cell>
          <cell r="AK63">
            <v>59838.549786648407</v>
          </cell>
          <cell r="AL63">
            <v>59838.549786648429</v>
          </cell>
          <cell r="AM63">
            <v>59838.549786648429</v>
          </cell>
          <cell r="AN63">
            <v>59838.549786648429</v>
          </cell>
          <cell r="AO63">
            <v>59838.549786648422</v>
          </cell>
          <cell r="AP63">
            <v>45946.41475560642</v>
          </cell>
          <cell r="AQ63">
            <v>0</v>
          </cell>
          <cell r="AR63">
            <v>0</v>
          </cell>
          <cell r="AS63">
            <v>0</v>
          </cell>
          <cell r="AT63">
            <v>0</v>
          </cell>
        </row>
        <row r="65">
          <cell r="E65" t="str">
            <v>Non-Current Assets</v>
          </cell>
          <cell r="F65" t="str">
            <v>[R$'000]</v>
          </cell>
          <cell r="I65">
            <v>245599</v>
          </cell>
          <cell r="J65">
            <v>248706</v>
          </cell>
          <cell r="K65">
            <v>256687</v>
          </cell>
          <cell r="L65">
            <v>207473</v>
          </cell>
          <cell r="M65">
            <v>199374.60722913328</v>
          </cell>
          <cell r="N65">
            <v>274792.06664776616</v>
          </cell>
          <cell r="O65">
            <v>343884.40595321561</v>
          </cell>
          <cell r="P65">
            <v>323198.37534143106</v>
          </cell>
          <cell r="Q65">
            <v>301059.20317990467</v>
          </cell>
          <cell r="R65">
            <v>278417.06685955939</v>
          </cell>
          <cell r="S65">
            <v>255274.91685955934</v>
          </cell>
          <cell r="T65">
            <v>231632.76685955931</v>
          </cell>
          <cell r="U65">
            <v>207490.61685955929</v>
          </cell>
          <cell r="V65">
            <v>182848.46685955927</v>
          </cell>
          <cell r="W65">
            <v>157706.31685955924</v>
          </cell>
          <cell r="X65">
            <v>134458.11392310692</v>
          </cell>
          <cell r="Y65">
            <v>123458.09977590074</v>
          </cell>
          <cell r="Z65">
            <v>111958.09977590074</v>
          </cell>
          <cell r="AA65">
            <v>99958.099775900744</v>
          </cell>
          <cell r="AB65">
            <v>87958.099775900759</v>
          </cell>
          <cell r="AC65">
            <v>81958.099775900773</v>
          </cell>
          <cell r="AD65">
            <v>81958.099775900773</v>
          </cell>
          <cell r="AE65">
            <v>81958.099775900773</v>
          </cell>
          <cell r="AF65">
            <v>81958.099775900773</v>
          </cell>
          <cell r="AG65">
            <v>81958.099775900773</v>
          </cell>
          <cell r="AH65">
            <v>81958.099775900773</v>
          </cell>
          <cell r="AI65">
            <v>81958.099775900773</v>
          </cell>
          <cell r="AJ65">
            <v>82225.454104861215</v>
          </cell>
          <cell r="AK65">
            <v>82230.080250658139</v>
          </cell>
          <cell r="AL65">
            <v>82230.080250658139</v>
          </cell>
          <cell r="AM65">
            <v>82230.080250658139</v>
          </cell>
          <cell r="AN65">
            <v>82230.080250658139</v>
          </cell>
          <cell r="AO65">
            <v>82230.080250658139</v>
          </cell>
          <cell r="AP65">
            <v>81842.853081097346</v>
          </cell>
          <cell r="AQ65">
            <v>80562.149999999732</v>
          </cell>
          <cell r="AR65">
            <v>80562.149999999732</v>
          </cell>
          <cell r="AS65">
            <v>80562.149999999732</v>
          </cell>
          <cell r="AT65">
            <v>80562.149999999732</v>
          </cell>
        </row>
        <row r="66">
          <cell r="E66" t="str">
            <v>Financial investments - LT</v>
          </cell>
          <cell r="F66" t="str">
            <v>[R$'000]</v>
          </cell>
          <cell r="I66">
            <v>40244</v>
          </cell>
          <cell r="J66">
            <v>42946</v>
          </cell>
          <cell r="K66">
            <v>44969</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row>
        <row r="67">
          <cell r="E67" t="str">
            <v>Recoverable Taxes</v>
          </cell>
          <cell r="F67" t="str">
            <v>[R$'000]</v>
          </cell>
          <cell r="I67">
            <v>2459</v>
          </cell>
          <cell r="J67">
            <v>1239</v>
          </cell>
          <cell r="K67">
            <v>635</v>
          </cell>
          <cell r="L67">
            <v>403</v>
          </cell>
          <cell r="M67">
            <v>446.75722913328218</v>
          </cell>
          <cell r="N67">
            <v>506.36664776617977</v>
          </cell>
          <cell r="O67">
            <v>740.8559532157069</v>
          </cell>
          <cell r="P67">
            <v>1696.975341431164</v>
          </cell>
          <cell r="Q67">
            <v>1699.9531799047722</v>
          </cell>
          <cell r="R67">
            <v>1699.9668595595117</v>
          </cell>
          <cell r="S67">
            <v>1699.9668595595117</v>
          </cell>
          <cell r="T67">
            <v>1699.9668595595117</v>
          </cell>
          <cell r="U67">
            <v>1699.9668595595117</v>
          </cell>
          <cell r="V67">
            <v>1699.9668595595117</v>
          </cell>
          <cell r="W67">
            <v>1699.9668595595117</v>
          </cell>
          <cell r="X67">
            <v>1395.9639231072354</v>
          </cell>
          <cell r="Y67">
            <v>1395.9497759010358</v>
          </cell>
          <cell r="Z67">
            <v>1395.9497759010358</v>
          </cell>
          <cell r="AA67">
            <v>1395.9497759010358</v>
          </cell>
          <cell r="AB67">
            <v>1395.9497759010358</v>
          </cell>
          <cell r="AC67">
            <v>1395.9497759010358</v>
          </cell>
          <cell r="AD67">
            <v>1395.9497759010358</v>
          </cell>
          <cell r="AE67">
            <v>1395.9497759010358</v>
          </cell>
          <cell r="AF67">
            <v>1395.9497759010358</v>
          </cell>
          <cell r="AG67">
            <v>1395.9497759010358</v>
          </cell>
          <cell r="AH67">
            <v>1395.949775901036</v>
          </cell>
          <cell r="AI67">
            <v>1395.9497759010358</v>
          </cell>
          <cell r="AJ67">
            <v>1663.304104861478</v>
          </cell>
          <cell r="AK67">
            <v>1667.9302506584115</v>
          </cell>
          <cell r="AL67">
            <v>1667.9302506584122</v>
          </cell>
          <cell r="AM67">
            <v>1667.9302506584122</v>
          </cell>
          <cell r="AN67">
            <v>1667.9302506584122</v>
          </cell>
          <cell r="AO67">
            <v>1667.930250658412</v>
          </cell>
          <cell r="AP67">
            <v>1280.70308109762</v>
          </cell>
          <cell r="AQ67">
            <v>0</v>
          </cell>
          <cell r="AR67">
            <v>0</v>
          </cell>
          <cell r="AS67">
            <v>0</v>
          </cell>
          <cell r="AT67">
            <v>0</v>
          </cell>
        </row>
        <row r="68">
          <cell r="E68" t="str">
            <v>Judicial Deposits</v>
          </cell>
          <cell r="F68" t="str">
            <v>[R$'000]</v>
          </cell>
          <cell r="I68">
            <v>8069</v>
          </cell>
          <cell r="J68">
            <v>8915</v>
          </cell>
          <cell r="K68">
            <v>9961</v>
          </cell>
          <cell r="L68">
            <v>11097</v>
          </cell>
          <cell r="M68">
            <v>11097</v>
          </cell>
          <cell r="N68">
            <v>11097</v>
          </cell>
          <cell r="O68">
            <v>11097</v>
          </cell>
          <cell r="P68">
            <v>11097</v>
          </cell>
          <cell r="Q68">
            <v>11097</v>
          </cell>
          <cell r="R68">
            <v>11097</v>
          </cell>
          <cell r="S68">
            <v>11097</v>
          </cell>
          <cell r="T68">
            <v>11097</v>
          </cell>
          <cell r="U68">
            <v>11097</v>
          </cell>
          <cell r="V68">
            <v>11097</v>
          </cell>
          <cell r="W68">
            <v>11097</v>
          </cell>
          <cell r="X68">
            <v>11097</v>
          </cell>
          <cell r="Y68">
            <v>11097</v>
          </cell>
          <cell r="Z68">
            <v>11097</v>
          </cell>
          <cell r="AA68">
            <v>11097</v>
          </cell>
          <cell r="AB68">
            <v>11097</v>
          </cell>
          <cell r="AC68">
            <v>11097</v>
          </cell>
          <cell r="AD68">
            <v>11097</v>
          </cell>
          <cell r="AE68">
            <v>11097</v>
          </cell>
          <cell r="AF68">
            <v>11097</v>
          </cell>
          <cell r="AG68">
            <v>11097</v>
          </cell>
          <cell r="AH68">
            <v>11097</v>
          </cell>
          <cell r="AI68">
            <v>11097</v>
          </cell>
          <cell r="AJ68">
            <v>11097</v>
          </cell>
          <cell r="AK68">
            <v>11097</v>
          </cell>
          <cell r="AL68">
            <v>11097</v>
          </cell>
          <cell r="AM68">
            <v>11097</v>
          </cell>
          <cell r="AN68">
            <v>11097</v>
          </cell>
          <cell r="AO68">
            <v>11097</v>
          </cell>
          <cell r="AP68">
            <v>11097</v>
          </cell>
          <cell r="AQ68">
            <v>11097</v>
          </cell>
          <cell r="AR68">
            <v>11097</v>
          </cell>
          <cell r="AS68">
            <v>11097</v>
          </cell>
          <cell r="AT68">
            <v>11097</v>
          </cell>
        </row>
        <row r="69">
          <cell r="E69" t="str">
            <v>Investments</v>
          </cell>
          <cell r="F69" t="str">
            <v>[R$'000]</v>
          </cell>
          <cell r="I69">
            <v>29</v>
          </cell>
          <cell r="J69">
            <v>29</v>
          </cell>
          <cell r="K69">
            <v>1601</v>
          </cell>
          <cell r="L69">
            <v>1818</v>
          </cell>
          <cell r="M69">
            <v>1818</v>
          </cell>
          <cell r="N69">
            <v>1818</v>
          </cell>
          <cell r="O69">
            <v>1818</v>
          </cell>
          <cell r="P69">
            <v>1818</v>
          </cell>
          <cell r="Q69">
            <v>1818</v>
          </cell>
          <cell r="R69">
            <v>1818</v>
          </cell>
          <cell r="S69">
            <v>1818</v>
          </cell>
          <cell r="T69">
            <v>1818</v>
          </cell>
          <cell r="U69">
            <v>1818</v>
          </cell>
          <cell r="V69">
            <v>1818</v>
          </cell>
          <cell r="W69">
            <v>1818</v>
          </cell>
          <cell r="X69">
            <v>1818</v>
          </cell>
          <cell r="Y69">
            <v>1818</v>
          </cell>
          <cell r="Z69">
            <v>1818</v>
          </cell>
          <cell r="AA69">
            <v>1818</v>
          </cell>
          <cell r="AB69">
            <v>1818</v>
          </cell>
          <cell r="AC69">
            <v>1818</v>
          </cell>
          <cell r="AD69">
            <v>1818</v>
          </cell>
          <cell r="AE69">
            <v>1818</v>
          </cell>
          <cell r="AF69">
            <v>1818</v>
          </cell>
          <cell r="AG69">
            <v>1818</v>
          </cell>
          <cell r="AH69">
            <v>1818</v>
          </cell>
          <cell r="AI69">
            <v>1818</v>
          </cell>
          <cell r="AJ69">
            <v>1818</v>
          </cell>
          <cell r="AK69">
            <v>1818</v>
          </cell>
          <cell r="AL69">
            <v>1818</v>
          </cell>
          <cell r="AM69">
            <v>1818</v>
          </cell>
          <cell r="AN69">
            <v>1818</v>
          </cell>
          <cell r="AO69">
            <v>1818</v>
          </cell>
          <cell r="AP69">
            <v>1818</v>
          </cell>
          <cell r="AQ69">
            <v>1818</v>
          </cell>
          <cell r="AR69">
            <v>1818</v>
          </cell>
          <cell r="AS69">
            <v>1818</v>
          </cell>
          <cell r="AT69">
            <v>1818</v>
          </cell>
        </row>
        <row r="70">
          <cell r="E70" t="str">
            <v>PP&amp;E</v>
          </cell>
          <cell r="F70" t="str">
            <v>[R$'000]</v>
          </cell>
          <cell r="I70">
            <v>193702</v>
          </cell>
          <cell r="J70">
            <v>194859</v>
          </cell>
          <cell r="K70">
            <v>199314</v>
          </cell>
          <cell r="L70">
            <v>194150</v>
          </cell>
          <cell r="M70">
            <v>186007.85</v>
          </cell>
          <cell r="N70">
            <v>261365.69999999998</v>
          </cell>
          <cell r="O70">
            <v>330223.54999999993</v>
          </cell>
          <cell r="P70">
            <v>308581.39999999991</v>
          </cell>
          <cell r="Q70">
            <v>286439.24999999988</v>
          </cell>
          <cell r="R70">
            <v>263797.09999999986</v>
          </cell>
          <cell r="S70">
            <v>240654.94999999984</v>
          </cell>
          <cell r="T70">
            <v>217012.79999999981</v>
          </cell>
          <cell r="U70">
            <v>192870.64999999979</v>
          </cell>
          <cell r="V70">
            <v>168228.49999999977</v>
          </cell>
          <cell r="W70">
            <v>143086.34999999974</v>
          </cell>
          <cell r="X70">
            <v>120142.1499999997</v>
          </cell>
          <cell r="Y70">
            <v>109142.1499999997</v>
          </cell>
          <cell r="Z70">
            <v>97642.149999999703</v>
          </cell>
          <cell r="AA70">
            <v>85642.149999999703</v>
          </cell>
          <cell r="AB70">
            <v>73642.149999999718</v>
          </cell>
          <cell r="AC70">
            <v>67642.149999999732</v>
          </cell>
          <cell r="AD70">
            <v>67642.149999999732</v>
          </cell>
          <cell r="AE70">
            <v>67642.149999999732</v>
          </cell>
          <cell r="AF70">
            <v>67642.149999999732</v>
          </cell>
          <cell r="AG70">
            <v>67642.149999999732</v>
          </cell>
          <cell r="AH70">
            <v>67642.149999999732</v>
          </cell>
          <cell r="AI70">
            <v>67642.149999999732</v>
          </cell>
          <cell r="AJ70">
            <v>67642.149999999732</v>
          </cell>
          <cell r="AK70">
            <v>67642.149999999732</v>
          </cell>
          <cell r="AL70">
            <v>67642.149999999732</v>
          </cell>
          <cell r="AM70">
            <v>67642.149999999732</v>
          </cell>
          <cell r="AN70">
            <v>67642.149999999732</v>
          </cell>
          <cell r="AO70">
            <v>67642.149999999732</v>
          </cell>
          <cell r="AP70">
            <v>67642.149999999732</v>
          </cell>
          <cell r="AQ70">
            <v>67642.149999999732</v>
          </cell>
          <cell r="AR70">
            <v>67642.149999999732</v>
          </cell>
          <cell r="AS70">
            <v>67642.149999999732</v>
          </cell>
          <cell r="AT70">
            <v>67642.149999999732</v>
          </cell>
        </row>
        <row r="71">
          <cell r="E71" t="str">
            <v>Intangible</v>
          </cell>
          <cell r="F71" t="str">
            <v>[R$'000]</v>
          </cell>
          <cell r="I71">
            <v>1096</v>
          </cell>
          <cell r="J71">
            <v>718</v>
          </cell>
          <cell r="K71">
            <v>207</v>
          </cell>
          <cell r="L71">
            <v>5</v>
          </cell>
          <cell r="M71">
            <v>5</v>
          </cell>
          <cell r="N71">
            <v>5</v>
          </cell>
          <cell r="O71">
            <v>5</v>
          </cell>
          <cell r="P71">
            <v>5</v>
          </cell>
          <cell r="Q71">
            <v>5</v>
          </cell>
          <cell r="R71">
            <v>5</v>
          </cell>
          <cell r="S71">
            <v>5</v>
          </cell>
          <cell r="T71">
            <v>5</v>
          </cell>
          <cell r="U71">
            <v>5</v>
          </cell>
          <cell r="V71">
            <v>5</v>
          </cell>
          <cell r="W71">
            <v>5</v>
          </cell>
          <cell r="X71">
            <v>5</v>
          </cell>
          <cell r="Y71">
            <v>5</v>
          </cell>
          <cell r="Z71">
            <v>5</v>
          </cell>
          <cell r="AA71">
            <v>5</v>
          </cell>
          <cell r="AB71">
            <v>5</v>
          </cell>
          <cell r="AC71">
            <v>5</v>
          </cell>
          <cell r="AD71">
            <v>5</v>
          </cell>
          <cell r="AE71">
            <v>5</v>
          </cell>
          <cell r="AF71">
            <v>5</v>
          </cell>
          <cell r="AG71">
            <v>5</v>
          </cell>
          <cell r="AH71">
            <v>5</v>
          </cell>
          <cell r="AI71">
            <v>5</v>
          </cell>
          <cell r="AJ71">
            <v>5</v>
          </cell>
          <cell r="AK71">
            <v>5</v>
          </cell>
          <cell r="AL71">
            <v>5</v>
          </cell>
          <cell r="AM71">
            <v>5</v>
          </cell>
          <cell r="AN71">
            <v>5</v>
          </cell>
          <cell r="AO71">
            <v>5</v>
          </cell>
          <cell r="AP71">
            <v>5</v>
          </cell>
          <cell r="AQ71">
            <v>5</v>
          </cell>
          <cell r="AR71">
            <v>5</v>
          </cell>
          <cell r="AS71">
            <v>5</v>
          </cell>
          <cell r="AT71">
            <v>5</v>
          </cell>
        </row>
        <row r="73">
          <cell r="E73" t="str">
            <v>Total Liabilities and Shareholders' Equity</v>
          </cell>
          <cell r="F73" t="str">
            <v>[R$'000]</v>
          </cell>
          <cell r="I73">
            <v>445638</v>
          </cell>
          <cell r="J73">
            <v>408731</v>
          </cell>
          <cell r="K73">
            <v>397547</v>
          </cell>
          <cell r="L73">
            <v>318144</v>
          </cell>
          <cell r="M73">
            <v>286899.77291630371</v>
          </cell>
          <cell r="N73">
            <v>370258.40503961931</v>
          </cell>
          <cell r="O73">
            <v>472861.67662657017</v>
          </cell>
          <cell r="P73">
            <v>617837.64331574913</v>
          </cell>
          <cell r="Q73">
            <v>595567.7074249537</v>
          </cell>
          <cell r="R73">
            <v>573204.68183979567</v>
          </cell>
          <cell r="S73">
            <v>550062.53183979564</v>
          </cell>
          <cell r="T73">
            <v>526420.38183979562</v>
          </cell>
          <cell r="U73">
            <v>502278.2318397956</v>
          </cell>
          <cell r="V73">
            <v>477636.08183979557</v>
          </cell>
          <cell r="W73">
            <v>452493.93183979555</v>
          </cell>
          <cell r="X73">
            <v>378289.88768119726</v>
          </cell>
          <cell r="Y73">
            <v>367281.38954835548</v>
          </cell>
          <cell r="Z73">
            <v>355781.3895483556</v>
          </cell>
          <cell r="AA73">
            <v>343781.38954835566</v>
          </cell>
          <cell r="AB73">
            <v>331781.38954835571</v>
          </cell>
          <cell r="AC73">
            <v>325781.38954835577</v>
          </cell>
          <cell r="AD73">
            <v>325781.38954835583</v>
          </cell>
          <cell r="AE73">
            <v>325781.38954835589</v>
          </cell>
          <cell r="AF73">
            <v>325781.38954835595</v>
          </cell>
          <cell r="AG73">
            <v>325781.38954835606</v>
          </cell>
          <cell r="AH73">
            <v>325781.38954835606</v>
          </cell>
          <cell r="AI73">
            <v>325781.38954835618</v>
          </cell>
          <cell r="AJ73">
            <v>356026.53401386668</v>
          </cell>
          <cell r="AK73">
            <v>346296.16336729669</v>
          </cell>
          <cell r="AL73">
            <v>346296.16336729674</v>
          </cell>
          <cell r="AM73">
            <v>346296.1633672968</v>
          </cell>
          <cell r="AN73">
            <v>346296.1633672968</v>
          </cell>
          <cell r="AO73">
            <v>346296.16336729686</v>
          </cell>
          <cell r="AP73">
            <v>292938.11161023652</v>
          </cell>
          <cell r="AQ73">
            <v>196882.20260463687</v>
          </cell>
          <cell r="AR73">
            <v>196882.20260463687</v>
          </cell>
          <cell r="AS73">
            <v>196882.20260463687</v>
          </cell>
          <cell r="AT73">
            <v>196882.20260463687</v>
          </cell>
        </row>
        <row r="75">
          <cell r="E75" t="str">
            <v>Current Liabilities</v>
          </cell>
          <cell r="F75" t="str">
            <v>[R$'000]</v>
          </cell>
          <cell r="I75">
            <v>125630</v>
          </cell>
          <cell r="J75">
            <v>104554</v>
          </cell>
          <cell r="K75">
            <v>60821</v>
          </cell>
          <cell r="L75">
            <v>69436</v>
          </cell>
          <cell r="M75">
            <v>165007.77291630369</v>
          </cell>
          <cell r="N75">
            <v>248366.40503961931</v>
          </cell>
          <cell r="O75">
            <v>350969.67662657017</v>
          </cell>
          <cell r="P75">
            <v>495945.64331574913</v>
          </cell>
          <cell r="Q75">
            <v>473675.7074249537</v>
          </cell>
          <cell r="R75">
            <v>451312.68183979567</v>
          </cell>
          <cell r="S75">
            <v>428170.53183979564</v>
          </cell>
          <cell r="T75">
            <v>404528.38183979562</v>
          </cell>
          <cell r="U75">
            <v>380386.2318397956</v>
          </cell>
          <cell r="V75">
            <v>355744.08183979557</v>
          </cell>
          <cell r="W75">
            <v>330601.93183979555</v>
          </cell>
          <cell r="X75">
            <v>256397.88768119726</v>
          </cell>
          <cell r="Y75">
            <v>245389.38954835551</v>
          </cell>
          <cell r="Z75">
            <v>233889.3895483556</v>
          </cell>
          <cell r="AA75">
            <v>221889.38954835566</v>
          </cell>
          <cell r="AB75">
            <v>209889.38954835574</v>
          </cell>
          <cell r="AC75">
            <v>203889.38954835577</v>
          </cell>
          <cell r="AD75">
            <v>203889.38954835583</v>
          </cell>
          <cell r="AE75">
            <v>203889.38954835589</v>
          </cell>
          <cell r="AF75">
            <v>203889.38954835598</v>
          </cell>
          <cell r="AG75">
            <v>203889.38954835603</v>
          </cell>
          <cell r="AH75">
            <v>203889.38954835609</v>
          </cell>
          <cell r="AI75">
            <v>203889.38954835615</v>
          </cell>
          <cell r="AJ75">
            <v>234134.53401386665</v>
          </cell>
          <cell r="AK75">
            <v>224404.16336729669</v>
          </cell>
          <cell r="AL75">
            <v>224404.16336729674</v>
          </cell>
          <cell r="AM75">
            <v>224404.16336729677</v>
          </cell>
          <cell r="AN75">
            <v>224404.1633672968</v>
          </cell>
          <cell r="AO75">
            <v>224404.16336729686</v>
          </cell>
          <cell r="AP75">
            <v>171046.11161023652</v>
          </cell>
          <cell r="AQ75">
            <v>74990.20260463687</v>
          </cell>
          <cell r="AR75">
            <v>74990.20260463687</v>
          </cell>
          <cell r="AS75">
            <v>74990.20260463687</v>
          </cell>
          <cell r="AT75">
            <v>74990.20260463687</v>
          </cell>
        </row>
        <row r="76">
          <cell r="E76" t="str">
            <v>Suppliers and other payables</v>
          </cell>
          <cell r="F76" t="str">
            <v>[R$'000]</v>
          </cell>
          <cell r="I76">
            <v>40552</v>
          </cell>
          <cell r="J76">
            <v>35409</v>
          </cell>
          <cell r="K76">
            <v>31319</v>
          </cell>
          <cell r="L76">
            <v>30226</v>
          </cell>
          <cell r="M76">
            <v>33507.900763728503</v>
          </cell>
          <cell r="N76">
            <v>37978.755075385976</v>
          </cell>
          <cell r="O76">
            <v>55566.034843419249</v>
          </cell>
          <cell r="P76">
            <v>127277.3614642639</v>
          </cell>
          <cell r="Q76">
            <v>127500.7067389619</v>
          </cell>
          <cell r="R76">
            <v>127501.73274701191</v>
          </cell>
          <cell r="S76">
            <v>127501.73274701191</v>
          </cell>
          <cell r="T76">
            <v>127501.73274701191</v>
          </cell>
          <cell r="U76">
            <v>127501.73274701191</v>
          </cell>
          <cell r="V76">
            <v>127501.73274701191</v>
          </cell>
          <cell r="W76">
            <v>127501.73274701191</v>
          </cell>
          <cell r="X76">
            <v>104700.75816337294</v>
          </cell>
          <cell r="Y76">
            <v>104699.69708780324</v>
          </cell>
          <cell r="Z76">
            <v>104699.69708780324</v>
          </cell>
          <cell r="AA76">
            <v>104699.69708780324</v>
          </cell>
          <cell r="AB76">
            <v>104699.69708780324</v>
          </cell>
          <cell r="AC76">
            <v>104699.69708780324</v>
          </cell>
          <cell r="AD76">
            <v>104699.69708780324</v>
          </cell>
          <cell r="AE76">
            <v>104699.69708780324</v>
          </cell>
          <cell r="AF76">
            <v>104699.69708780324</v>
          </cell>
          <cell r="AG76">
            <v>104699.69708780324</v>
          </cell>
          <cell r="AH76">
            <v>104699.69708780326</v>
          </cell>
          <cell r="AI76">
            <v>104699.69708780324</v>
          </cell>
          <cell r="AJ76">
            <v>124751.93517008197</v>
          </cell>
          <cell r="AK76">
            <v>125098.90758412195</v>
          </cell>
          <cell r="AL76">
            <v>125098.90758412199</v>
          </cell>
          <cell r="AM76">
            <v>125098.90758412199</v>
          </cell>
          <cell r="AN76">
            <v>125098.90758412199</v>
          </cell>
          <cell r="AO76">
            <v>125098.90758412196</v>
          </cell>
          <cell r="AP76">
            <v>96055.909005599664</v>
          </cell>
          <cell r="AQ76">
            <v>0</v>
          </cell>
          <cell r="AR76">
            <v>0</v>
          </cell>
          <cell r="AS76">
            <v>0</v>
          </cell>
          <cell r="AT76">
            <v>0</v>
          </cell>
        </row>
        <row r="77">
          <cell r="E77" t="str">
            <v>Short Term Debt</v>
          </cell>
          <cell r="F77" t="str">
            <v>[R$'000]</v>
          </cell>
          <cell r="I77">
            <v>3475</v>
          </cell>
          <cell r="J77">
            <v>2025</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E78" t="str">
            <v>Recap</v>
          </cell>
          <cell r="F78" t="str">
            <v>[R$'000]</v>
          </cell>
          <cell r="I78">
            <v>0</v>
          </cell>
          <cell r="J78">
            <v>0</v>
          </cell>
          <cell r="K78">
            <v>0</v>
          </cell>
          <cell r="L78">
            <v>0</v>
          </cell>
          <cell r="M78">
            <v>92289.87215257519</v>
          </cell>
          <cell r="N78">
            <v>171177.64996423334</v>
          </cell>
          <cell r="O78">
            <v>256193.6417831509</v>
          </cell>
          <cell r="P78">
            <v>329458.2818514852</v>
          </cell>
          <cell r="Q78">
            <v>306965.00068599178</v>
          </cell>
          <cell r="R78">
            <v>284600.94909278373</v>
          </cell>
          <cell r="S78">
            <v>261458.79909278374</v>
          </cell>
          <cell r="T78">
            <v>237816.64909278369</v>
          </cell>
          <cell r="U78">
            <v>213674.49909278366</v>
          </cell>
          <cell r="V78">
            <v>189032.34909278367</v>
          </cell>
          <cell r="W78">
            <v>163890.19909278365</v>
          </cell>
          <cell r="X78">
            <v>112487.1295178243</v>
          </cell>
          <cell r="Y78">
            <v>101479.69246055227</v>
          </cell>
          <cell r="Z78">
            <v>89979.692460552338</v>
          </cell>
          <cell r="AA78">
            <v>77979.692460552411</v>
          </cell>
          <cell r="AB78">
            <v>65979.692460552498</v>
          </cell>
          <cell r="AC78">
            <v>59979.692460552542</v>
          </cell>
          <cell r="AD78">
            <v>59979.692460552586</v>
          </cell>
          <cell r="AE78">
            <v>59979.692460552644</v>
          </cell>
          <cell r="AF78">
            <v>59979.692460552731</v>
          </cell>
          <cell r="AG78">
            <v>59979.692460552789</v>
          </cell>
          <cell r="AH78">
            <v>59979.69246055284</v>
          </cell>
          <cell r="AI78">
            <v>59979.692460552898</v>
          </cell>
          <cell r="AJ78">
            <v>70172.598843784683</v>
          </cell>
          <cell r="AK78">
            <v>60095.255783174747</v>
          </cell>
          <cell r="AL78">
            <v>60095.255783174769</v>
          </cell>
          <cell r="AM78">
            <v>60095.255783174805</v>
          </cell>
          <cell r="AN78">
            <v>60095.255783174835</v>
          </cell>
          <cell r="AO78">
            <v>60095.255783174871</v>
          </cell>
          <cell r="AP78">
            <v>35780.202604636863</v>
          </cell>
          <cell r="AQ78">
            <v>35780.202604636863</v>
          </cell>
          <cell r="AR78">
            <v>35780.202604636863</v>
          </cell>
          <cell r="AS78">
            <v>35780.202604636863</v>
          </cell>
          <cell r="AT78">
            <v>35780.202604636863</v>
          </cell>
        </row>
        <row r="79">
          <cell r="E79" t="str">
            <v>Provisions</v>
          </cell>
          <cell r="F79" t="str">
            <v>[R$'000]</v>
          </cell>
          <cell r="I79">
            <v>0</v>
          </cell>
          <cell r="J79">
            <v>0</v>
          </cell>
          <cell r="K79">
            <v>0</v>
          </cell>
          <cell r="L79">
            <v>14730</v>
          </cell>
          <cell r="M79">
            <v>14730</v>
          </cell>
          <cell r="N79">
            <v>14730</v>
          </cell>
          <cell r="O79">
            <v>14730</v>
          </cell>
          <cell r="P79">
            <v>14730</v>
          </cell>
          <cell r="Q79">
            <v>14730</v>
          </cell>
          <cell r="R79">
            <v>14730</v>
          </cell>
          <cell r="S79">
            <v>14730</v>
          </cell>
          <cell r="T79">
            <v>14730</v>
          </cell>
          <cell r="U79">
            <v>14730</v>
          </cell>
          <cell r="V79">
            <v>14730</v>
          </cell>
          <cell r="W79">
            <v>14730</v>
          </cell>
          <cell r="X79">
            <v>14730</v>
          </cell>
          <cell r="Y79">
            <v>14730</v>
          </cell>
          <cell r="Z79">
            <v>14730</v>
          </cell>
          <cell r="AA79">
            <v>14730</v>
          </cell>
          <cell r="AB79">
            <v>14730</v>
          </cell>
          <cell r="AC79">
            <v>14730</v>
          </cell>
          <cell r="AD79">
            <v>14730</v>
          </cell>
          <cell r="AE79">
            <v>14730</v>
          </cell>
          <cell r="AF79">
            <v>14730</v>
          </cell>
          <cell r="AG79">
            <v>14730</v>
          </cell>
          <cell r="AH79">
            <v>14730</v>
          </cell>
          <cell r="AI79">
            <v>14730</v>
          </cell>
          <cell r="AJ79">
            <v>14730</v>
          </cell>
          <cell r="AK79">
            <v>14730</v>
          </cell>
          <cell r="AL79">
            <v>14730</v>
          </cell>
          <cell r="AM79">
            <v>14730</v>
          </cell>
          <cell r="AN79">
            <v>14730</v>
          </cell>
          <cell r="AO79">
            <v>14730</v>
          </cell>
          <cell r="AP79">
            <v>14730</v>
          </cell>
          <cell r="AQ79">
            <v>14730</v>
          </cell>
          <cell r="AR79">
            <v>14730</v>
          </cell>
          <cell r="AS79">
            <v>14730</v>
          </cell>
          <cell r="AT79">
            <v>14730</v>
          </cell>
        </row>
        <row r="80">
          <cell r="E80" t="str">
            <v>IR / CSLL Provisions</v>
          </cell>
          <cell r="F80" t="str">
            <v>[R$'000]</v>
          </cell>
          <cell r="I80">
            <v>81603</v>
          </cell>
          <cell r="J80">
            <v>67120</v>
          </cell>
          <cell r="K80">
            <v>29502</v>
          </cell>
          <cell r="L80">
            <v>24480</v>
          </cell>
          <cell r="M80">
            <v>24480</v>
          </cell>
          <cell r="N80">
            <v>24480</v>
          </cell>
          <cell r="O80">
            <v>24480</v>
          </cell>
          <cell r="P80">
            <v>24480</v>
          </cell>
          <cell r="Q80">
            <v>24480</v>
          </cell>
          <cell r="R80">
            <v>24480</v>
          </cell>
          <cell r="S80">
            <v>24480</v>
          </cell>
          <cell r="T80">
            <v>24480</v>
          </cell>
          <cell r="U80">
            <v>24480</v>
          </cell>
          <cell r="V80">
            <v>24480</v>
          </cell>
          <cell r="W80">
            <v>24480</v>
          </cell>
          <cell r="X80">
            <v>24480</v>
          </cell>
          <cell r="Y80">
            <v>24480</v>
          </cell>
          <cell r="Z80">
            <v>24480</v>
          </cell>
          <cell r="AA80">
            <v>24480</v>
          </cell>
          <cell r="AB80">
            <v>24480</v>
          </cell>
          <cell r="AC80">
            <v>24480</v>
          </cell>
          <cell r="AD80">
            <v>24480</v>
          </cell>
          <cell r="AE80">
            <v>24480</v>
          </cell>
          <cell r="AF80">
            <v>24480</v>
          </cell>
          <cell r="AG80">
            <v>24480</v>
          </cell>
          <cell r="AH80">
            <v>24480</v>
          </cell>
          <cell r="AI80">
            <v>24480</v>
          </cell>
          <cell r="AJ80">
            <v>24480</v>
          </cell>
          <cell r="AK80">
            <v>24480</v>
          </cell>
          <cell r="AL80">
            <v>24480</v>
          </cell>
          <cell r="AM80">
            <v>24480</v>
          </cell>
          <cell r="AN80">
            <v>24480</v>
          </cell>
          <cell r="AO80">
            <v>24480</v>
          </cell>
          <cell r="AP80">
            <v>24480</v>
          </cell>
          <cell r="AQ80">
            <v>24480</v>
          </cell>
          <cell r="AR80">
            <v>24480</v>
          </cell>
          <cell r="AS80">
            <v>24480</v>
          </cell>
          <cell r="AT80">
            <v>24480</v>
          </cell>
        </row>
        <row r="82">
          <cell r="E82" t="str">
            <v>Non-Current Liabilities</v>
          </cell>
          <cell r="F82" t="str">
            <v>[R$'000]</v>
          </cell>
          <cell r="I82">
            <v>63168</v>
          </cell>
          <cell r="J82">
            <v>69019</v>
          </cell>
          <cell r="K82">
            <v>69917</v>
          </cell>
          <cell r="L82">
            <v>66368</v>
          </cell>
          <cell r="M82">
            <v>66368</v>
          </cell>
          <cell r="N82">
            <v>66368</v>
          </cell>
          <cell r="O82">
            <v>66368</v>
          </cell>
          <cell r="P82">
            <v>66368</v>
          </cell>
          <cell r="Q82">
            <v>66368</v>
          </cell>
          <cell r="R82">
            <v>66368</v>
          </cell>
          <cell r="S82">
            <v>66368</v>
          </cell>
          <cell r="T82">
            <v>66368</v>
          </cell>
          <cell r="U82">
            <v>66368</v>
          </cell>
          <cell r="V82">
            <v>66368</v>
          </cell>
          <cell r="W82">
            <v>66368</v>
          </cell>
          <cell r="X82">
            <v>66368</v>
          </cell>
          <cell r="Y82">
            <v>66368</v>
          </cell>
          <cell r="Z82">
            <v>66368</v>
          </cell>
          <cell r="AA82">
            <v>66368</v>
          </cell>
          <cell r="AB82">
            <v>66368</v>
          </cell>
          <cell r="AC82">
            <v>66368</v>
          </cell>
          <cell r="AD82">
            <v>66368</v>
          </cell>
          <cell r="AE82">
            <v>66368</v>
          </cell>
          <cell r="AF82">
            <v>66368</v>
          </cell>
          <cell r="AG82">
            <v>66368</v>
          </cell>
          <cell r="AH82">
            <v>66368</v>
          </cell>
          <cell r="AI82">
            <v>66368</v>
          </cell>
          <cell r="AJ82">
            <v>66368</v>
          </cell>
          <cell r="AK82">
            <v>66368</v>
          </cell>
          <cell r="AL82">
            <v>66368</v>
          </cell>
          <cell r="AM82">
            <v>66368</v>
          </cell>
          <cell r="AN82">
            <v>66368</v>
          </cell>
          <cell r="AO82">
            <v>66368</v>
          </cell>
          <cell r="AP82">
            <v>66368</v>
          </cell>
          <cell r="AQ82">
            <v>66368</v>
          </cell>
          <cell r="AR82">
            <v>66368</v>
          </cell>
          <cell r="AS82">
            <v>66368</v>
          </cell>
          <cell r="AT82">
            <v>66368</v>
          </cell>
        </row>
        <row r="83">
          <cell r="E83" t="str">
            <v>Long Term Debt</v>
          </cell>
          <cell r="F83" t="str">
            <v>[R$'000]</v>
          </cell>
          <cell r="I83">
            <v>2021</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E84" t="str">
            <v>Provisions</v>
          </cell>
          <cell r="F84" t="str">
            <v>[R$'000]</v>
          </cell>
          <cell r="I84">
            <v>17175</v>
          </cell>
          <cell r="J84">
            <v>21059</v>
          </cell>
          <cell r="K84">
            <v>22297</v>
          </cell>
          <cell r="L84">
            <v>12366</v>
          </cell>
          <cell r="M84">
            <v>12366</v>
          </cell>
          <cell r="N84">
            <v>12366</v>
          </cell>
          <cell r="O84">
            <v>12366</v>
          </cell>
          <cell r="P84">
            <v>12366</v>
          </cell>
          <cell r="Q84">
            <v>12366</v>
          </cell>
          <cell r="R84">
            <v>12366</v>
          </cell>
          <cell r="S84">
            <v>12366</v>
          </cell>
          <cell r="T84">
            <v>12366</v>
          </cell>
          <cell r="U84">
            <v>12366</v>
          </cell>
          <cell r="V84">
            <v>12366</v>
          </cell>
          <cell r="W84">
            <v>12366</v>
          </cell>
          <cell r="X84">
            <v>12366</v>
          </cell>
          <cell r="Y84">
            <v>12366</v>
          </cell>
          <cell r="Z84">
            <v>12366</v>
          </cell>
          <cell r="AA84">
            <v>12366</v>
          </cell>
          <cell r="AB84">
            <v>12366</v>
          </cell>
          <cell r="AC84">
            <v>12366</v>
          </cell>
          <cell r="AD84">
            <v>12366</v>
          </cell>
          <cell r="AE84">
            <v>12366</v>
          </cell>
          <cell r="AF84">
            <v>12366</v>
          </cell>
          <cell r="AG84">
            <v>12366</v>
          </cell>
          <cell r="AH84">
            <v>12366</v>
          </cell>
          <cell r="AI84">
            <v>12366</v>
          </cell>
          <cell r="AJ84">
            <v>12366</v>
          </cell>
          <cell r="AK84">
            <v>12366</v>
          </cell>
          <cell r="AL84">
            <v>12366</v>
          </cell>
          <cell r="AM84">
            <v>12366</v>
          </cell>
          <cell r="AN84">
            <v>12366</v>
          </cell>
          <cell r="AO84">
            <v>12366</v>
          </cell>
          <cell r="AP84">
            <v>12366</v>
          </cell>
          <cell r="AQ84">
            <v>12366</v>
          </cell>
          <cell r="AR84">
            <v>12366</v>
          </cell>
          <cell r="AS84">
            <v>12366</v>
          </cell>
          <cell r="AT84">
            <v>12366</v>
          </cell>
        </row>
        <row r="85">
          <cell r="E85" t="str">
            <v>Deferred IR CSLL</v>
          </cell>
          <cell r="F85" t="str">
            <v>[R$'000]</v>
          </cell>
          <cell r="I85">
            <v>3728</v>
          </cell>
          <cell r="J85">
            <v>5014</v>
          </cell>
          <cell r="K85">
            <v>2651</v>
          </cell>
          <cell r="L85">
            <v>1505</v>
          </cell>
          <cell r="M85">
            <v>1505</v>
          </cell>
          <cell r="N85">
            <v>1505</v>
          </cell>
          <cell r="O85">
            <v>1505</v>
          </cell>
          <cell r="P85">
            <v>1505</v>
          </cell>
          <cell r="Q85">
            <v>1505</v>
          </cell>
          <cell r="R85">
            <v>1505</v>
          </cell>
          <cell r="S85">
            <v>1505</v>
          </cell>
          <cell r="T85">
            <v>1505</v>
          </cell>
          <cell r="U85">
            <v>1505</v>
          </cell>
          <cell r="V85">
            <v>1505</v>
          </cell>
          <cell r="W85">
            <v>1505</v>
          </cell>
          <cell r="X85">
            <v>1505</v>
          </cell>
          <cell r="Y85">
            <v>1505</v>
          </cell>
          <cell r="Z85">
            <v>1505</v>
          </cell>
          <cell r="AA85">
            <v>1505</v>
          </cell>
          <cell r="AB85">
            <v>1505</v>
          </cell>
          <cell r="AC85">
            <v>1505</v>
          </cell>
          <cell r="AD85">
            <v>1505</v>
          </cell>
          <cell r="AE85">
            <v>1505</v>
          </cell>
          <cell r="AF85">
            <v>1505</v>
          </cell>
          <cell r="AG85">
            <v>1505</v>
          </cell>
          <cell r="AH85">
            <v>1505</v>
          </cell>
          <cell r="AI85">
            <v>1505</v>
          </cell>
          <cell r="AJ85">
            <v>1505</v>
          </cell>
          <cell r="AK85">
            <v>1505</v>
          </cell>
          <cell r="AL85">
            <v>1505</v>
          </cell>
          <cell r="AM85">
            <v>1505</v>
          </cell>
          <cell r="AN85">
            <v>1505</v>
          </cell>
          <cell r="AO85">
            <v>1505</v>
          </cell>
          <cell r="AP85">
            <v>1505</v>
          </cell>
          <cell r="AQ85">
            <v>1505</v>
          </cell>
          <cell r="AR85">
            <v>1505</v>
          </cell>
          <cell r="AS85">
            <v>1505</v>
          </cell>
          <cell r="AT85">
            <v>1505</v>
          </cell>
        </row>
        <row r="86">
          <cell r="E86" t="str">
            <v>Descomissionamento da mina</v>
          </cell>
          <cell r="F86" t="str">
            <v>[R$'000]</v>
          </cell>
          <cell r="I86">
            <v>40244</v>
          </cell>
          <cell r="J86">
            <v>42946</v>
          </cell>
          <cell r="K86">
            <v>44969</v>
          </cell>
          <cell r="L86">
            <v>52497</v>
          </cell>
          <cell r="M86">
            <v>52497</v>
          </cell>
          <cell r="N86">
            <v>52497</v>
          </cell>
          <cell r="O86">
            <v>52497</v>
          </cell>
          <cell r="P86">
            <v>52497</v>
          </cell>
          <cell r="Q86">
            <v>52497</v>
          </cell>
          <cell r="R86">
            <v>52497</v>
          </cell>
          <cell r="S86">
            <v>52497</v>
          </cell>
          <cell r="T86">
            <v>52497</v>
          </cell>
          <cell r="U86">
            <v>52497</v>
          </cell>
          <cell r="V86">
            <v>52497</v>
          </cell>
          <cell r="W86">
            <v>52497</v>
          </cell>
          <cell r="X86">
            <v>52497</v>
          </cell>
          <cell r="Y86">
            <v>52497</v>
          </cell>
          <cell r="Z86">
            <v>52497</v>
          </cell>
          <cell r="AA86">
            <v>52497</v>
          </cell>
          <cell r="AB86">
            <v>52497</v>
          </cell>
          <cell r="AC86">
            <v>52497</v>
          </cell>
          <cell r="AD86">
            <v>52497</v>
          </cell>
          <cell r="AE86">
            <v>52497</v>
          </cell>
          <cell r="AF86">
            <v>52497</v>
          </cell>
          <cell r="AG86">
            <v>52497</v>
          </cell>
          <cell r="AH86">
            <v>52497</v>
          </cell>
          <cell r="AI86">
            <v>52497</v>
          </cell>
          <cell r="AJ86">
            <v>52497</v>
          </cell>
          <cell r="AK86">
            <v>52497</v>
          </cell>
          <cell r="AL86">
            <v>52497</v>
          </cell>
          <cell r="AM86">
            <v>52497</v>
          </cell>
          <cell r="AN86">
            <v>52497</v>
          </cell>
          <cell r="AO86">
            <v>52497</v>
          </cell>
          <cell r="AP86">
            <v>52497</v>
          </cell>
          <cell r="AQ86">
            <v>52497</v>
          </cell>
          <cell r="AR86">
            <v>52497</v>
          </cell>
          <cell r="AS86">
            <v>52497</v>
          </cell>
          <cell r="AT86">
            <v>52497</v>
          </cell>
        </row>
        <row r="88">
          <cell r="E88" t="str">
            <v>Shareholders' Equity</v>
          </cell>
          <cell r="F88" t="str">
            <v>[R$'000]</v>
          </cell>
          <cell r="I88">
            <v>256840</v>
          </cell>
          <cell r="J88">
            <v>235158</v>
          </cell>
          <cell r="K88">
            <v>266809</v>
          </cell>
          <cell r="L88">
            <v>182340</v>
          </cell>
          <cell r="M88">
            <v>55524</v>
          </cell>
          <cell r="N88">
            <v>55524</v>
          </cell>
          <cell r="O88">
            <v>55524</v>
          </cell>
          <cell r="P88">
            <v>55524</v>
          </cell>
          <cell r="Q88">
            <v>55524</v>
          </cell>
          <cell r="R88">
            <v>55524</v>
          </cell>
          <cell r="S88">
            <v>55524</v>
          </cell>
          <cell r="T88">
            <v>55524</v>
          </cell>
          <cell r="U88">
            <v>55524</v>
          </cell>
          <cell r="V88">
            <v>55524</v>
          </cell>
          <cell r="W88">
            <v>55524</v>
          </cell>
          <cell r="X88">
            <v>55524</v>
          </cell>
          <cell r="Y88">
            <v>55524</v>
          </cell>
          <cell r="Z88">
            <v>55524</v>
          </cell>
          <cell r="AA88">
            <v>55524</v>
          </cell>
          <cell r="AB88">
            <v>55524</v>
          </cell>
          <cell r="AC88">
            <v>55524</v>
          </cell>
          <cell r="AD88">
            <v>55524</v>
          </cell>
          <cell r="AE88">
            <v>55524</v>
          </cell>
          <cell r="AF88">
            <v>55524</v>
          </cell>
          <cell r="AG88">
            <v>55524</v>
          </cell>
          <cell r="AH88">
            <v>55524</v>
          </cell>
          <cell r="AI88">
            <v>55524</v>
          </cell>
          <cell r="AJ88">
            <v>55524</v>
          </cell>
          <cell r="AK88">
            <v>55524</v>
          </cell>
          <cell r="AL88">
            <v>55524</v>
          </cell>
          <cell r="AM88">
            <v>55524</v>
          </cell>
          <cell r="AN88">
            <v>55524</v>
          </cell>
          <cell r="AO88">
            <v>55524</v>
          </cell>
          <cell r="AP88">
            <v>55524</v>
          </cell>
          <cell r="AQ88">
            <v>55524</v>
          </cell>
          <cell r="AR88">
            <v>55524</v>
          </cell>
          <cell r="AS88">
            <v>55524</v>
          </cell>
          <cell r="AT88">
            <v>55524</v>
          </cell>
        </row>
        <row r="89">
          <cell r="E89" t="str">
            <v>Capital</v>
          </cell>
          <cell r="F89" t="str">
            <v>[R$'000]</v>
          </cell>
          <cell r="I89">
            <v>50000</v>
          </cell>
          <cell r="J89">
            <v>50000</v>
          </cell>
          <cell r="K89">
            <v>50000</v>
          </cell>
          <cell r="L89">
            <v>50000</v>
          </cell>
          <cell r="M89">
            <v>50000</v>
          </cell>
          <cell r="N89">
            <v>50000</v>
          </cell>
          <cell r="O89">
            <v>50000</v>
          </cell>
          <cell r="P89">
            <v>50000</v>
          </cell>
          <cell r="Q89">
            <v>50000</v>
          </cell>
          <cell r="R89">
            <v>50000</v>
          </cell>
          <cell r="S89">
            <v>50000</v>
          </cell>
          <cell r="T89">
            <v>50000</v>
          </cell>
          <cell r="U89">
            <v>50000</v>
          </cell>
          <cell r="V89">
            <v>50000</v>
          </cell>
          <cell r="W89">
            <v>50000</v>
          </cell>
          <cell r="X89">
            <v>50000</v>
          </cell>
          <cell r="Y89">
            <v>50000</v>
          </cell>
          <cell r="Z89">
            <v>50000</v>
          </cell>
          <cell r="AA89">
            <v>50000</v>
          </cell>
          <cell r="AB89">
            <v>50000</v>
          </cell>
          <cell r="AC89">
            <v>50000</v>
          </cell>
          <cell r="AD89">
            <v>50000</v>
          </cell>
          <cell r="AE89">
            <v>50000</v>
          </cell>
          <cell r="AF89">
            <v>50000</v>
          </cell>
          <cell r="AG89">
            <v>50000</v>
          </cell>
          <cell r="AH89">
            <v>50000</v>
          </cell>
          <cell r="AI89">
            <v>50000</v>
          </cell>
          <cell r="AJ89">
            <v>50000</v>
          </cell>
          <cell r="AK89">
            <v>50000</v>
          </cell>
          <cell r="AL89">
            <v>50000</v>
          </cell>
          <cell r="AM89">
            <v>50000</v>
          </cell>
          <cell r="AN89">
            <v>50000</v>
          </cell>
          <cell r="AO89">
            <v>50000</v>
          </cell>
          <cell r="AP89">
            <v>50000</v>
          </cell>
          <cell r="AQ89">
            <v>50000</v>
          </cell>
          <cell r="AR89">
            <v>50000</v>
          </cell>
          <cell r="AS89">
            <v>50000</v>
          </cell>
          <cell r="AT89">
            <v>50000</v>
          </cell>
        </row>
        <row r="90">
          <cell r="E90" t="str">
            <v>Controling Shareholder's Contribution</v>
          </cell>
          <cell r="F90" t="str">
            <v>[R$'000]</v>
          </cell>
          <cell r="I90">
            <v>2895</v>
          </cell>
          <cell r="J90">
            <v>3492</v>
          </cell>
          <cell r="K90">
            <v>3713</v>
          </cell>
          <cell r="L90">
            <v>3633</v>
          </cell>
          <cell r="M90">
            <v>3633</v>
          </cell>
          <cell r="N90">
            <v>3633</v>
          </cell>
          <cell r="O90">
            <v>3633</v>
          </cell>
          <cell r="P90">
            <v>3633</v>
          </cell>
          <cell r="Q90">
            <v>3633</v>
          </cell>
          <cell r="R90">
            <v>3633</v>
          </cell>
          <cell r="S90">
            <v>3633</v>
          </cell>
          <cell r="T90">
            <v>3633</v>
          </cell>
          <cell r="U90">
            <v>3633</v>
          </cell>
          <cell r="V90">
            <v>3633</v>
          </cell>
          <cell r="W90">
            <v>3633</v>
          </cell>
          <cell r="X90">
            <v>3633</v>
          </cell>
          <cell r="Y90">
            <v>3633</v>
          </cell>
          <cell r="Z90">
            <v>3633</v>
          </cell>
          <cell r="AA90">
            <v>3633</v>
          </cell>
          <cell r="AB90">
            <v>3633</v>
          </cell>
          <cell r="AC90">
            <v>3633</v>
          </cell>
          <cell r="AD90">
            <v>3633</v>
          </cell>
          <cell r="AE90">
            <v>3633</v>
          </cell>
          <cell r="AF90">
            <v>3633</v>
          </cell>
          <cell r="AG90">
            <v>3633</v>
          </cell>
          <cell r="AH90">
            <v>3633</v>
          </cell>
          <cell r="AI90">
            <v>3633</v>
          </cell>
          <cell r="AJ90">
            <v>3633</v>
          </cell>
          <cell r="AK90">
            <v>3633</v>
          </cell>
          <cell r="AL90">
            <v>3633</v>
          </cell>
          <cell r="AM90">
            <v>3633</v>
          </cell>
          <cell r="AN90">
            <v>3633</v>
          </cell>
          <cell r="AO90">
            <v>3633</v>
          </cell>
          <cell r="AP90">
            <v>3633</v>
          </cell>
          <cell r="AQ90">
            <v>3633</v>
          </cell>
          <cell r="AR90">
            <v>3633</v>
          </cell>
          <cell r="AS90">
            <v>3633</v>
          </cell>
          <cell r="AT90">
            <v>3633</v>
          </cell>
        </row>
        <row r="91">
          <cell r="E91" t="str">
            <v>Profit Reserves</v>
          </cell>
          <cell r="F91" t="str">
            <v>[R$'000]</v>
          </cell>
          <cell r="I91">
            <v>110335</v>
          </cell>
          <cell r="J91">
            <v>119254</v>
          </cell>
          <cell r="K91">
            <v>211208</v>
          </cell>
          <cell r="L91">
            <v>126816</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E92" t="str">
            <v xml:space="preserve">Adjustments to Shareholders' Equity </v>
          </cell>
          <cell r="F92" t="str">
            <v>[R$'000]</v>
          </cell>
          <cell r="I92">
            <v>2901</v>
          </cell>
          <cell r="J92">
            <v>2412</v>
          </cell>
          <cell r="K92">
            <v>1888</v>
          </cell>
          <cell r="L92">
            <v>1891</v>
          </cell>
          <cell r="M92">
            <v>1891</v>
          </cell>
          <cell r="N92">
            <v>1891</v>
          </cell>
          <cell r="O92">
            <v>1891</v>
          </cell>
          <cell r="P92">
            <v>1891</v>
          </cell>
          <cell r="Q92">
            <v>1891</v>
          </cell>
          <cell r="R92">
            <v>1891</v>
          </cell>
          <cell r="S92">
            <v>1891</v>
          </cell>
          <cell r="T92">
            <v>1891</v>
          </cell>
          <cell r="U92">
            <v>1891</v>
          </cell>
          <cell r="V92">
            <v>1891</v>
          </cell>
          <cell r="W92">
            <v>1891</v>
          </cell>
          <cell r="X92">
            <v>1891</v>
          </cell>
          <cell r="Y92">
            <v>1891</v>
          </cell>
          <cell r="Z92">
            <v>1891</v>
          </cell>
          <cell r="AA92">
            <v>1891</v>
          </cell>
          <cell r="AB92">
            <v>1891</v>
          </cell>
          <cell r="AC92">
            <v>1891</v>
          </cell>
          <cell r="AD92">
            <v>1891</v>
          </cell>
          <cell r="AE92">
            <v>1891</v>
          </cell>
          <cell r="AF92">
            <v>1891</v>
          </cell>
          <cell r="AG92">
            <v>1891</v>
          </cell>
          <cell r="AH92">
            <v>1891</v>
          </cell>
          <cell r="AI92">
            <v>1891</v>
          </cell>
          <cell r="AJ92">
            <v>1891</v>
          </cell>
          <cell r="AK92">
            <v>1891</v>
          </cell>
          <cell r="AL92">
            <v>1891</v>
          </cell>
          <cell r="AM92">
            <v>1891</v>
          </cell>
          <cell r="AN92">
            <v>1891</v>
          </cell>
          <cell r="AO92">
            <v>1891</v>
          </cell>
          <cell r="AP92">
            <v>1891</v>
          </cell>
          <cell r="AQ92">
            <v>1891</v>
          </cell>
          <cell r="AR92">
            <v>1891</v>
          </cell>
          <cell r="AS92">
            <v>1891</v>
          </cell>
          <cell r="AT92">
            <v>1891</v>
          </cell>
        </row>
        <row r="93">
          <cell r="E93" t="str">
            <v>Distributable Profits</v>
          </cell>
          <cell r="F93" t="str">
            <v>[R$'000]</v>
          </cell>
          <cell r="I93">
            <v>90709</v>
          </cell>
          <cell r="J93">
            <v>60000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6">
          <cell r="E96" t="str">
            <v>Total Debt</v>
          </cell>
          <cell r="F96" t="str">
            <v>[R$'000]</v>
          </cell>
          <cell r="I96">
            <v>5496</v>
          </cell>
          <cell r="J96">
            <v>2025</v>
          </cell>
          <cell r="K96">
            <v>0</v>
          </cell>
          <cell r="L96">
            <v>0</v>
          </cell>
          <cell r="M96">
            <v>92289.87215257519</v>
          </cell>
          <cell r="N96">
            <v>171177.64996423334</v>
          </cell>
          <cell r="O96">
            <v>256193.6417831509</v>
          </cell>
          <cell r="P96">
            <v>329458.2818514852</v>
          </cell>
          <cell r="Q96">
            <v>306965.00068599178</v>
          </cell>
          <cell r="R96">
            <v>284600.94909278373</v>
          </cell>
          <cell r="S96">
            <v>261458.79909278374</v>
          </cell>
          <cell r="T96">
            <v>237816.64909278369</v>
          </cell>
          <cell r="U96">
            <v>213674.49909278366</v>
          </cell>
          <cell r="V96">
            <v>189032.34909278367</v>
          </cell>
          <cell r="W96">
            <v>163890.19909278365</v>
          </cell>
          <cell r="X96">
            <v>112487.1295178243</v>
          </cell>
          <cell r="Y96">
            <v>101479.69246055227</v>
          </cell>
          <cell r="Z96">
            <v>89979.692460552338</v>
          </cell>
          <cell r="AA96">
            <v>77979.692460552411</v>
          </cell>
          <cell r="AB96">
            <v>65979.692460552498</v>
          </cell>
          <cell r="AC96">
            <v>59979.692460552542</v>
          </cell>
          <cell r="AD96">
            <v>59979.692460552586</v>
          </cell>
          <cell r="AE96">
            <v>59979.692460552644</v>
          </cell>
          <cell r="AF96">
            <v>59979.692460552731</v>
          </cell>
          <cell r="AG96">
            <v>59979.692460552789</v>
          </cell>
          <cell r="AH96">
            <v>59979.69246055284</v>
          </cell>
          <cell r="AI96">
            <v>59979.692460552898</v>
          </cell>
          <cell r="AJ96">
            <v>70172.598843784683</v>
          </cell>
          <cell r="AK96">
            <v>60095.255783174747</v>
          </cell>
          <cell r="AL96">
            <v>60095.255783174769</v>
          </cell>
          <cell r="AM96">
            <v>60095.255783174805</v>
          </cell>
          <cell r="AN96">
            <v>60095.255783174835</v>
          </cell>
          <cell r="AO96">
            <v>60095.255783174871</v>
          </cell>
          <cell r="AP96">
            <v>35780.202604636863</v>
          </cell>
          <cell r="AQ96">
            <v>35780.202604636863</v>
          </cell>
          <cell r="AR96">
            <v>35780.202604636863</v>
          </cell>
          <cell r="AS96">
            <v>35780.202604636863</v>
          </cell>
          <cell r="AT96">
            <v>35780.202604636863</v>
          </cell>
        </row>
        <row r="97">
          <cell r="E97" t="str">
            <v>(-) Cash</v>
          </cell>
          <cell r="F97" t="str">
            <v>[R$'000]</v>
          </cell>
          <cell r="I97">
            <v>-152827</v>
          </cell>
          <cell r="J97">
            <v>-95449</v>
          </cell>
          <cell r="K97">
            <v>-58656</v>
          </cell>
          <cell r="L97">
            <v>-36359</v>
          </cell>
          <cell r="M97">
            <v>-15313.219869392109</v>
          </cell>
          <cell r="N97">
            <v>-17245.657132868655</v>
          </cell>
          <cell r="O97">
            <v>-24847.40669073665</v>
          </cell>
          <cell r="P97">
            <v>-55843.19186184468</v>
          </cell>
          <cell r="Q97">
            <v>-55939.728385149036</v>
          </cell>
          <cell r="R97">
            <v>-55940.17185658653</v>
          </cell>
          <cell r="S97">
            <v>-55940.17185658653</v>
          </cell>
          <cell r="T97">
            <v>-55940.17185658653</v>
          </cell>
          <cell r="U97">
            <v>-55940.17185658653</v>
          </cell>
          <cell r="V97">
            <v>-55940.17185658653</v>
          </cell>
          <cell r="W97">
            <v>-55940.17185658653</v>
          </cell>
          <cell r="X97">
            <v>-46084.907100113109</v>
          </cell>
          <cell r="Y97">
            <v>-46084.448471442214</v>
          </cell>
          <cell r="Z97">
            <v>-46084.448471442214</v>
          </cell>
          <cell r="AA97">
            <v>-46084.448471442214</v>
          </cell>
          <cell r="AB97">
            <v>-46084.448471442214</v>
          </cell>
          <cell r="AC97">
            <v>-46084.448471442214</v>
          </cell>
          <cell r="AD97">
            <v>-46084.448471442214</v>
          </cell>
          <cell r="AE97">
            <v>-46084.448471442214</v>
          </cell>
          <cell r="AF97">
            <v>-46084.448471442214</v>
          </cell>
          <cell r="AG97">
            <v>-46084.448471442214</v>
          </cell>
          <cell r="AH97">
            <v>-46084.448471442214</v>
          </cell>
          <cell r="AI97">
            <v>-46084.448471442214</v>
          </cell>
          <cell r="AJ97">
            <v>-54751.626908740262</v>
          </cell>
          <cell r="AK97">
            <v>-54901.598787837545</v>
          </cell>
          <cell r="AL97">
            <v>-54901.598787837545</v>
          </cell>
          <cell r="AM97">
            <v>-54901.598787837545</v>
          </cell>
          <cell r="AN97">
            <v>-54901.598787837545</v>
          </cell>
          <cell r="AO97">
            <v>-54901.598787837545</v>
          </cell>
          <cell r="AP97">
            <v>-53931.377533112944</v>
          </cell>
          <cell r="AQ97">
            <v>-116320.05260463628</v>
          </cell>
          <cell r="AR97">
            <v>-116320.05260463628</v>
          </cell>
          <cell r="AS97">
            <v>-116320.05260463628</v>
          </cell>
          <cell r="AT97">
            <v>-116320.05260463628</v>
          </cell>
        </row>
        <row r="98">
          <cell r="E98" t="str">
            <v>Net Debt</v>
          </cell>
          <cell r="F98" t="str">
            <v>[R$'000]</v>
          </cell>
          <cell r="I98">
            <v>-147331</v>
          </cell>
          <cell r="J98">
            <v>-93424</v>
          </cell>
          <cell r="K98">
            <v>-58656</v>
          </cell>
          <cell r="L98">
            <v>-36359</v>
          </cell>
          <cell r="M98">
            <v>76976.652283183081</v>
          </cell>
          <cell r="N98">
            <v>153931.99283136468</v>
          </cell>
          <cell r="O98">
            <v>231346.23509241425</v>
          </cell>
          <cell r="P98">
            <v>273615.08998964052</v>
          </cell>
          <cell r="Q98">
            <v>251025.27230084274</v>
          </cell>
          <cell r="R98">
            <v>228660.7772361972</v>
          </cell>
          <cell r="S98">
            <v>205518.62723619721</v>
          </cell>
          <cell r="T98">
            <v>181876.47723619716</v>
          </cell>
          <cell r="U98">
            <v>157734.32723619713</v>
          </cell>
          <cell r="V98">
            <v>133092.17723619714</v>
          </cell>
          <cell r="W98">
            <v>107950.02723619711</v>
          </cell>
          <cell r="X98">
            <v>66402.222417711193</v>
          </cell>
          <cell r="Y98">
            <v>55395.243989110051</v>
          </cell>
          <cell r="Z98">
            <v>43895.243989110124</v>
          </cell>
          <cell r="AA98">
            <v>31895.243989110197</v>
          </cell>
          <cell r="AB98">
            <v>19895.243989110284</v>
          </cell>
          <cell r="AC98">
            <v>13895.243989110328</v>
          </cell>
          <cell r="AD98">
            <v>13895.243989110371</v>
          </cell>
          <cell r="AE98">
            <v>13895.24398911043</v>
          </cell>
          <cell r="AF98">
            <v>13895.243989110517</v>
          </cell>
          <cell r="AG98">
            <v>13895.243989110575</v>
          </cell>
          <cell r="AH98">
            <v>13895.243989110626</v>
          </cell>
          <cell r="AI98">
            <v>13895.243989110684</v>
          </cell>
          <cell r="AJ98">
            <v>15420.971935044421</v>
          </cell>
          <cell r="AK98">
            <v>5193.6569953372018</v>
          </cell>
          <cell r="AL98">
            <v>5193.6569953372236</v>
          </cell>
          <cell r="AM98">
            <v>5193.65699533726</v>
          </cell>
          <cell r="AN98">
            <v>5193.6569953372891</v>
          </cell>
          <cell r="AO98">
            <v>5193.6569953373255</v>
          </cell>
          <cell r="AP98">
            <v>-18151.174928476081</v>
          </cell>
          <cell r="AQ98">
            <v>-80539.849999999424</v>
          </cell>
          <cell r="AR98">
            <v>-80539.849999999424</v>
          </cell>
          <cell r="AS98">
            <v>-80539.849999999424</v>
          </cell>
          <cell r="AT98">
            <v>-80539.849999999424</v>
          </cell>
        </row>
        <row r="99">
          <cell r="E99" t="str">
            <v>Net Debt / EBTIDA</v>
          </cell>
          <cell r="F99" t="str">
            <v>[x]</v>
          </cell>
          <cell r="I99">
            <v>-0.44063906980917206</v>
          </cell>
          <cell r="J99">
            <v>-0.31727281450359002</v>
          </cell>
          <cell r="K99">
            <v>-0.34710362335564277</v>
          </cell>
          <cell r="L99">
            <v>-0.22615160730569037</v>
          </cell>
          <cell r="M99">
            <v>0.33672614367186282</v>
          </cell>
          <cell r="N99">
            <v>0.68668023306335668</v>
          </cell>
          <cell r="O99">
            <v>0.97008770289208324</v>
          </cell>
          <cell r="P99">
            <v>0.487149338862297</v>
          </cell>
          <cell r="Q99">
            <v>0.45085911102133464</v>
          </cell>
          <cell r="R99">
            <v>0.40883322400582589</v>
          </cell>
          <cell r="S99">
            <v>0.36745629915984185</v>
          </cell>
          <cell r="T99">
            <v>0.32518540109084321</v>
          </cell>
          <cell r="U99">
            <v>0.28202052979882952</v>
          </cell>
          <cell r="V99">
            <v>0.23796168528380091</v>
          </cell>
          <cell r="W99">
            <v>0.19300886754575763</v>
          </cell>
          <cell r="X99">
            <v>0.14061955156398598</v>
          </cell>
          <cell r="Y99">
            <v>0.11732501095402562</v>
          </cell>
          <cell r="Z99">
            <v>9.2968450195189942E-2</v>
          </cell>
          <cell r="AA99">
            <v>6.7552908533796183E-2</v>
          </cell>
          <cell r="AB99">
            <v>4.2137366872402444E-2</v>
          </cell>
          <cell r="AC99">
            <v>2.9429596041705579E-2</v>
          </cell>
          <cell r="AD99">
            <v>2.9429596041705669E-2</v>
          </cell>
          <cell r="AE99">
            <v>2.9429596041705794E-2</v>
          </cell>
          <cell r="AF99">
            <v>2.9429596041705978E-2</v>
          </cell>
          <cell r="AG99">
            <v>2.9429596041706117E-2</v>
          </cell>
          <cell r="AH99">
            <v>2.9429596041706217E-2</v>
          </cell>
          <cell r="AI99">
            <v>2.9429596041706332E-2</v>
          </cell>
          <cell r="AJ99">
            <v>3.7305364328156149E-2</v>
          </cell>
          <cell r="AK99">
            <v>1.6291823523088708E-2</v>
          </cell>
          <cell r="AL99">
            <v>1.6291823523088767E-2</v>
          </cell>
          <cell r="AM99">
            <v>1.6291823523088882E-2</v>
          </cell>
          <cell r="AN99">
            <v>1.6291823523088972E-2</v>
          </cell>
          <cell r="AO99">
            <v>1.6291823523089097E-2</v>
          </cell>
          <cell r="AP99">
            <v>-8.5996798066881402E-2</v>
          </cell>
          <cell r="AQ99" t="str">
            <v>n.a.</v>
          </cell>
          <cell r="AR99" t="str">
            <v>n.a.</v>
          </cell>
          <cell r="AS99" t="str">
            <v>n.a.</v>
          </cell>
          <cell r="AT99" t="str">
            <v>n.a.</v>
          </cell>
        </row>
        <row r="100">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4.6566128730773926E-10</v>
          </cell>
          <cell r="AG100">
            <v>6.4028427004814148E-10</v>
          </cell>
          <cell r="AH100">
            <v>5.8207660913467407E-10</v>
          </cell>
          <cell r="AI100">
            <v>6.9849193096160889E-10</v>
          </cell>
          <cell r="AJ100">
            <v>6.9849193096160889E-10</v>
          </cell>
          <cell r="AK100">
            <v>6.9849193096160889E-10</v>
          </cell>
          <cell r="AL100">
            <v>6.9849193096160889E-10</v>
          </cell>
          <cell r="AM100">
            <v>7.5669959187507629E-10</v>
          </cell>
          <cell r="AN100">
            <v>7.5669959187507629E-10</v>
          </cell>
          <cell r="AO100">
            <v>8.149072527885437E-10</v>
          </cell>
          <cell r="AP100">
            <v>8.7311491370201111E-10</v>
          </cell>
          <cell r="AQ100">
            <v>8.440110832452774E-10</v>
          </cell>
          <cell r="AR100">
            <v>8.440110832452774E-10</v>
          </cell>
          <cell r="AS100">
            <v>8.440110832452774E-10</v>
          </cell>
          <cell r="AT100">
            <v>8.440110832452774E-10</v>
          </cell>
        </row>
        <row r="102">
          <cell r="A102" t="str">
            <v>x</v>
          </cell>
          <cell r="B102">
            <v>4</v>
          </cell>
          <cell r="E102" t="str">
            <v>Cash Flow</v>
          </cell>
          <cell r="I102">
            <v>2013</v>
          </cell>
          <cell r="J102">
            <v>2014</v>
          </cell>
          <cell r="K102">
            <v>2015</v>
          </cell>
          <cell r="L102">
            <v>2016</v>
          </cell>
          <cell r="M102">
            <v>2017</v>
          </cell>
          <cell r="N102">
            <v>2018</v>
          </cell>
          <cell r="O102">
            <v>2019</v>
          </cell>
          <cell r="P102">
            <v>2020</v>
          </cell>
          <cell r="Q102">
            <v>2021</v>
          </cell>
          <cell r="R102">
            <v>2022</v>
          </cell>
          <cell r="S102">
            <v>2023</v>
          </cell>
          <cell r="T102">
            <v>2024</v>
          </cell>
          <cell r="U102">
            <v>2025</v>
          </cell>
          <cell r="V102">
            <v>2026</v>
          </cell>
          <cell r="W102">
            <v>2027</v>
          </cell>
          <cell r="X102">
            <v>2028</v>
          </cell>
          <cell r="Y102">
            <v>2029</v>
          </cell>
          <cell r="Z102">
            <v>2030</v>
          </cell>
          <cell r="AA102">
            <v>2031</v>
          </cell>
          <cell r="AB102">
            <v>2032</v>
          </cell>
          <cell r="AC102">
            <v>2033</v>
          </cell>
          <cell r="AD102">
            <v>2034</v>
          </cell>
          <cell r="AE102">
            <v>2035</v>
          </cell>
          <cell r="AF102">
            <v>2036</v>
          </cell>
          <cell r="AG102">
            <v>2037</v>
          </cell>
          <cell r="AH102">
            <v>2038</v>
          </cell>
          <cell r="AI102">
            <v>2039</v>
          </cell>
          <cell r="AJ102">
            <v>2040</v>
          </cell>
          <cell r="AK102">
            <v>2041</v>
          </cell>
          <cell r="AL102">
            <v>2042</v>
          </cell>
          <cell r="AM102">
            <v>2043</v>
          </cell>
          <cell r="AN102">
            <v>2044</v>
          </cell>
          <cell r="AO102">
            <v>2045</v>
          </cell>
          <cell r="AP102">
            <v>2046</v>
          </cell>
          <cell r="AQ102">
            <v>2047</v>
          </cell>
          <cell r="AR102">
            <v>2048</v>
          </cell>
          <cell r="AS102">
            <v>2049</v>
          </cell>
          <cell r="AT102">
            <v>2050</v>
          </cell>
        </row>
        <row r="104">
          <cell r="E104" t="str">
            <v>Net income</v>
          </cell>
          <cell r="F104" t="str">
            <v>[R$'000]</v>
          </cell>
          <cell r="M104">
            <v>142032.69116084906</v>
          </cell>
          <cell r="N104">
            <v>130015.03577543396</v>
          </cell>
          <cell r="O104">
            <v>131901.4036113125</v>
          </cell>
          <cell r="P104">
            <v>341646.37717530271</v>
          </cell>
          <cell r="Q104">
            <v>335923.78394047008</v>
          </cell>
          <cell r="R104">
            <v>338187.98790729849</v>
          </cell>
          <cell r="S104">
            <v>338774.55648039037</v>
          </cell>
          <cell r="T104">
            <v>339393.00214855594</v>
          </cell>
          <cell r="U104">
            <v>340031.93955297291</v>
          </cell>
          <cell r="V104">
            <v>340691.36869364115</v>
          </cell>
          <cell r="W104">
            <v>341371.28957056027</v>
          </cell>
          <cell r="X104">
            <v>286373.61497359176</v>
          </cell>
          <cell r="Y104">
            <v>296055.53018551471</v>
          </cell>
          <cell r="Z104">
            <v>296176.64068702259</v>
          </cell>
          <cell r="AA104">
            <v>296317.95062079735</v>
          </cell>
          <cell r="AB104">
            <v>296809.75229082326</v>
          </cell>
          <cell r="AC104">
            <v>301261.55396084918</v>
          </cell>
          <cell r="AD104">
            <v>305467.4547958622</v>
          </cell>
          <cell r="AE104">
            <v>305467.4547958622</v>
          </cell>
          <cell r="AF104">
            <v>305467.4547958622</v>
          </cell>
          <cell r="AG104">
            <v>305467.45479586202</v>
          </cell>
          <cell r="AH104">
            <v>305467.45479586208</v>
          </cell>
          <cell r="AI104">
            <v>305467.4547958622</v>
          </cell>
          <cell r="AJ104">
            <v>266672.2505291187</v>
          </cell>
          <cell r="AK104">
            <v>204066.30239875667</v>
          </cell>
          <cell r="AL104">
            <v>204483.39194977909</v>
          </cell>
          <cell r="AM104">
            <v>204483.39194977909</v>
          </cell>
          <cell r="AN104">
            <v>204483.39194977909</v>
          </cell>
          <cell r="AO104">
            <v>204483.39194977895</v>
          </cell>
          <cell r="AP104">
            <v>133387.43697225003</v>
          </cell>
          <cell r="AQ104">
            <v>0</v>
          </cell>
          <cell r="AR104">
            <v>0</v>
          </cell>
          <cell r="AS104">
            <v>0</v>
          </cell>
          <cell r="AT104">
            <v>0</v>
          </cell>
        </row>
        <row r="105">
          <cell r="E105" t="str">
            <v>(-) D&amp;A</v>
          </cell>
          <cell r="F105" t="str">
            <v>[R$'000]</v>
          </cell>
          <cell r="M105">
            <v>15642.150000000001</v>
          </cell>
          <cell r="N105">
            <v>22142.150000000005</v>
          </cell>
          <cell r="O105">
            <v>28642.150000000009</v>
          </cell>
          <cell r="P105">
            <v>29142.150000000009</v>
          </cell>
          <cell r="Q105">
            <v>29642.150000000009</v>
          </cell>
          <cell r="R105">
            <v>30142.150000000009</v>
          </cell>
          <cell r="S105">
            <v>30642.150000000009</v>
          </cell>
          <cell r="T105">
            <v>31142.150000000009</v>
          </cell>
          <cell r="U105">
            <v>31642.150000000009</v>
          </cell>
          <cell r="V105">
            <v>32142.150000000009</v>
          </cell>
          <cell r="W105">
            <v>32642.150000000009</v>
          </cell>
          <cell r="X105">
            <v>30444.200000000048</v>
          </cell>
          <cell r="Y105">
            <v>18500.000000000007</v>
          </cell>
          <cell r="Z105">
            <v>19000.000000000007</v>
          </cell>
          <cell r="AA105">
            <v>19500.000000000007</v>
          </cell>
          <cell r="AB105">
            <v>19499.999999999989</v>
          </cell>
          <cell r="AC105">
            <v>13499.999999999985</v>
          </cell>
          <cell r="AD105">
            <v>7500</v>
          </cell>
          <cell r="AE105">
            <v>7500</v>
          </cell>
          <cell r="AF105">
            <v>7500</v>
          </cell>
          <cell r="AG105">
            <v>7500</v>
          </cell>
          <cell r="AH105">
            <v>7500</v>
          </cell>
          <cell r="AI105">
            <v>7500</v>
          </cell>
          <cell r="AJ105">
            <v>7500</v>
          </cell>
          <cell r="AK105">
            <v>7500</v>
          </cell>
          <cell r="AL105">
            <v>7500</v>
          </cell>
          <cell r="AM105">
            <v>7500</v>
          </cell>
          <cell r="AN105">
            <v>7500</v>
          </cell>
          <cell r="AO105">
            <v>7500</v>
          </cell>
          <cell r="AP105">
            <v>7500</v>
          </cell>
          <cell r="AQ105">
            <v>0</v>
          </cell>
          <cell r="AR105">
            <v>0</v>
          </cell>
          <cell r="AS105">
            <v>0</v>
          </cell>
          <cell r="AT105">
            <v>0</v>
          </cell>
        </row>
        <row r="106">
          <cell r="E106" t="str">
            <v>(-) Working Capital</v>
          </cell>
          <cell r="F106" t="str">
            <v>[R$'000]</v>
          </cell>
          <cell r="M106">
            <v>5338.1977168169469</v>
          </cell>
          <cell r="N106">
            <v>-1597.4905481815804</v>
          </cell>
          <cell r="O106">
            <v>-8556.3922610495792</v>
          </cell>
          <cell r="P106">
            <v>-63911.00489722631</v>
          </cell>
          <cell r="Q106">
            <v>447.66768879773736</v>
          </cell>
          <cell r="R106">
            <v>-277.65493535449787</v>
          </cell>
          <cell r="S106">
            <v>0</v>
          </cell>
          <cell r="T106">
            <v>0</v>
          </cell>
          <cell r="U106">
            <v>0</v>
          </cell>
          <cell r="V106">
            <v>0</v>
          </cell>
          <cell r="W106">
            <v>0</v>
          </cell>
          <cell r="X106">
            <v>18603.604818485866</v>
          </cell>
          <cell r="Y106">
            <v>6.9784286011563381</v>
          </cell>
          <cell r="Z106">
            <v>0</v>
          </cell>
          <cell r="AA106">
            <v>0</v>
          </cell>
          <cell r="AB106">
            <v>0</v>
          </cell>
          <cell r="AC106">
            <v>0</v>
          </cell>
          <cell r="AD106">
            <v>0</v>
          </cell>
          <cell r="AE106">
            <v>0</v>
          </cell>
          <cell r="AF106">
            <v>0</v>
          </cell>
          <cell r="AG106">
            <v>0</v>
          </cell>
          <cell r="AH106">
            <v>0</v>
          </cell>
          <cell r="AI106">
            <v>0</v>
          </cell>
          <cell r="AJ106">
            <v>-1525.7279459337296</v>
          </cell>
          <cell r="AK106">
            <v>10227.314939707227</v>
          </cell>
          <cell r="AL106">
            <v>0</v>
          </cell>
          <cell r="AM106">
            <v>0</v>
          </cell>
          <cell r="AN106">
            <v>0</v>
          </cell>
          <cell r="AO106">
            <v>0</v>
          </cell>
          <cell r="AP106">
            <v>23344.831923813414</v>
          </cell>
          <cell r="AQ106">
            <v>62388.675071523336</v>
          </cell>
          <cell r="AR106">
            <v>0</v>
          </cell>
          <cell r="AS106">
            <v>0</v>
          </cell>
          <cell r="AT106">
            <v>0</v>
          </cell>
        </row>
        <row r="107">
          <cell r="E107" t="str">
            <v xml:space="preserve">Operating Cash Flow </v>
          </cell>
          <cell r="F107" t="str">
            <v>[R$'000]</v>
          </cell>
          <cell r="M107">
            <v>163013.038877666</v>
          </cell>
          <cell r="N107">
            <v>150559.69522725238</v>
          </cell>
          <cell r="O107">
            <v>151987.16135026293</v>
          </cell>
          <cell r="P107">
            <v>306877.52227807645</v>
          </cell>
          <cell r="Q107">
            <v>366013.60162926785</v>
          </cell>
          <cell r="R107">
            <v>368052.48297194403</v>
          </cell>
          <cell r="S107">
            <v>369416.70648039039</v>
          </cell>
          <cell r="T107">
            <v>370535.15214855596</v>
          </cell>
          <cell r="U107">
            <v>371674.08955297293</v>
          </cell>
          <cell r="V107">
            <v>372833.51869364118</v>
          </cell>
          <cell r="W107">
            <v>374013.43957056029</v>
          </cell>
          <cell r="X107">
            <v>335421.41979207768</v>
          </cell>
          <cell r="Y107">
            <v>314562.50861411588</v>
          </cell>
          <cell r="Z107">
            <v>315176.64068702259</v>
          </cell>
          <cell r="AA107">
            <v>315817.95062079735</v>
          </cell>
          <cell r="AB107">
            <v>316309.75229082326</v>
          </cell>
          <cell r="AC107">
            <v>314761.55396084918</v>
          </cell>
          <cell r="AD107">
            <v>312967.4547958622</v>
          </cell>
          <cell r="AE107">
            <v>312967.4547958622</v>
          </cell>
          <cell r="AF107">
            <v>312967.4547958622</v>
          </cell>
          <cell r="AG107">
            <v>312967.45479586202</v>
          </cell>
          <cell r="AH107">
            <v>312967.45479586208</v>
          </cell>
          <cell r="AI107">
            <v>312967.4547958622</v>
          </cell>
          <cell r="AJ107">
            <v>272646.522583185</v>
          </cell>
          <cell r="AK107">
            <v>221793.6173384639</v>
          </cell>
          <cell r="AL107">
            <v>211983.39194977909</v>
          </cell>
          <cell r="AM107">
            <v>211983.39194977909</v>
          </cell>
          <cell r="AN107">
            <v>211983.39194977909</v>
          </cell>
          <cell r="AO107">
            <v>211983.39194977895</v>
          </cell>
          <cell r="AP107">
            <v>164232.26889606344</v>
          </cell>
          <cell r="AQ107">
            <v>62388.675071523336</v>
          </cell>
          <cell r="AR107">
            <v>0</v>
          </cell>
          <cell r="AS107">
            <v>0</v>
          </cell>
          <cell r="AT107">
            <v>0</v>
          </cell>
        </row>
        <row r="109">
          <cell r="E109" t="str">
            <v>CapEx</v>
          </cell>
          <cell r="F109" t="str">
            <v>[R$'000]</v>
          </cell>
          <cell r="M109">
            <v>-7500</v>
          </cell>
          <cell r="N109">
            <v>-97500</v>
          </cell>
          <cell r="O109">
            <v>-97500</v>
          </cell>
          <cell r="P109">
            <v>-7500</v>
          </cell>
          <cell r="Q109">
            <v>-7500</v>
          </cell>
          <cell r="R109">
            <v>-7500</v>
          </cell>
          <cell r="S109">
            <v>-7500</v>
          </cell>
          <cell r="T109">
            <v>-7500</v>
          </cell>
          <cell r="U109">
            <v>-7500</v>
          </cell>
          <cell r="V109">
            <v>-7500</v>
          </cell>
          <cell r="W109">
            <v>-7500</v>
          </cell>
          <cell r="X109">
            <v>-7500</v>
          </cell>
          <cell r="Y109">
            <v>-7500</v>
          </cell>
          <cell r="Z109">
            <v>-7500</v>
          </cell>
          <cell r="AA109">
            <v>-7500</v>
          </cell>
          <cell r="AB109">
            <v>-7500</v>
          </cell>
          <cell r="AC109">
            <v>-7500</v>
          </cell>
          <cell r="AD109">
            <v>-7500</v>
          </cell>
          <cell r="AE109">
            <v>-7500</v>
          </cell>
          <cell r="AF109">
            <v>-7500</v>
          </cell>
          <cell r="AG109">
            <v>-7500</v>
          </cell>
          <cell r="AH109">
            <v>-7500</v>
          </cell>
          <cell r="AI109">
            <v>-7500</v>
          </cell>
          <cell r="AJ109">
            <v>-7500</v>
          </cell>
          <cell r="AK109">
            <v>-7500</v>
          </cell>
          <cell r="AL109">
            <v>-7500</v>
          </cell>
          <cell r="AM109">
            <v>-7500</v>
          </cell>
          <cell r="AN109">
            <v>-7500</v>
          </cell>
          <cell r="AO109">
            <v>-7500</v>
          </cell>
          <cell r="AP109">
            <v>-7500</v>
          </cell>
          <cell r="AQ109">
            <v>0</v>
          </cell>
          <cell r="AR109">
            <v>0</v>
          </cell>
          <cell r="AS109">
            <v>0</v>
          </cell>
          <cell r="AT109">
            <v>0</v>
          </cell>
        </row>
        <row r="110">
          <cell r="E110" t="str">
            <v xml:space="preserve">Investing Cash Flow </v>
          </cell>
          <cell r="F110" t="str">
            <v>[R$'000]</v>
          </cell>
          <cell r="M110">
            <v>-7500</v>
          </cell>
          <cell r="N110">
            <v>-97500</v>
          </cell>
          <cell r="O110">
            <v>-97500</v>
          </cell>
          <cell r="P110">
            <v>-7500</v>
          </cell>
          <cell r="Q110">
            <v>-7500</v>
          </cell>
          <cell r="R110">
            <v>-7500</v>
          </cell>
          <cell r="S110">
            <v>-7500</v>
          </cell>
          <cell r="T110">
            <v>-7500</v>
          </cell>
          <cell r="U110">
            <v>-7500</v>
          </cell>
          <cell r="V110">
            <v>-7500</v>
          </cell>
          <cell r="W110">
            <v>-7500</v>
          </cell>
          <cell r="X110">
            <v>-7500</v>
          </cell>
          <cell r="Y110">
            <v>-7500</v>
          </cell>
          <cell r="Z110">
            <v>-7500</v>
          </cell>
          <cell r="AA110">
            <v>-7500</v>
          </cell>
          <cell r="AB110">
            <v>-7500</v>
          </cell>
          <cell r="AC110">
            <v>-7500</v>
          </cell>
          <cell r="AD110">
            <v>-7500</v>
          </cell>
          <cell r="AE110">
            <v>-7500</v>
          </cell>
          <cell r="AF110">
            <v>-7500</v>
          </cell>
          <cell r="AG110">
            <v>-7500</v>
          </cell>
          <cell r="AH110">
            <v>-7500</v>
          </cell>
          <cell r="AI110">
            <v>-7500</v>
          </cell>
          <cell r="AJ110">
            <v>-7500</v>
          </cell>
          <cell r="AK110">
            <v>-7500</v>
          </cell>
          <cell r="AL110">
            <v>-7500</v>
          </cell>
          <cell r="AM110">
            <v>-7500</v>
          </cell>
          <cell r="AN110">
            <v>-7500</v>
          </cell>
          <cell r="AO110">
            <v>-7500</v>
          </cell>
          <cell r="AP110">
            <v>-7500</v>
          </cell>
          <cell r="AQ110">
            <v>0</v>
          </cell>
          <cell r="AR110">
            <v>0</v>
          </cell>
          <cell r="AS110">
            <v>0</v>
          </cell>
          <cell r="AT110">
            <v>0</v>
          </cell>
        </row>
        <row r="112">
          <cell r="E112" t="str">
            <v>Existing debt amortization</v>
          </cell>
          <cell r="F112" t="str">
            <v>[R$'000]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row>
        <row r="113">
          <cell r="E113" t="str">
            <v>Capital increase</v>
          </cell>
          <cell r="F113" t="str">
            <v>[R$'000]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row>
        <row r="114">
          <cell r="E114" t="str">
            <v>Recap amortization</v>
          </cell>
          <cell r="F114" t="str">
            <v>[R$'000]</v>
          </cell>
          <cell r="M114">
            <v>0</v>
          </cell>
          <cell r="N114">
            <v>-23072.468038143797</v>
          </cell>
          <cell r="O114">
            <v>-48562.529500594275</v>
          </cell>
          <cell r="P114">
            <v>-81957.159830472243</v>
          </cell>
          <cell r="Q114">
            <v>-120762.60980517387</v>
          </cell>
          <cell r="R114">
            <v>-122257.47392695019</v>
          </cell>
          <cell r="S114">
            <v>-121740.76804793524</v>
          </cell>
          <cell r="T114">
            <v>-112995.79223004109</v>
          </cell>
          <cell r="U114">
            <v>-96528.752812849722</v>
          </cell>
          <cell r="V114">
            <v>-90058.071356142027</v>
          </cell>
          <cell r="W114">
            <v>-81438.696111742</v>
          </cell>
          <cell r="X114">
            <v>-70863.178127693682</v>
          </cell>
          <cell r="Y114">
            <v>-53389.794708367008</v>
          </cell>
          <cell r="Z114">
            <v>-45888.733417928328</v>
          </cell>
          <cell r="AA114">
            <v>-38131.936433374925</v>
          </cell>
          <cell r="AB114">
            <v>-30590.784013783181</v>
          </cell>
          <cell r="AC114">
            <v>-30373.452879045413</v>
          </cell>
          <cell r="AD114">
            <v>-25871.226686033035</v>
          </cell>
          <cell r="AE114">
            <v>-23741.850003059204</v>
          </cell>
          <cell r="AF114">
            <v>-23144.328395480268</v>
          </cell>
          <cell r="AG114">
            <v>-24282.714490904538</v>
          </cell>
          <cell r="AH114">
            <v>-24260.029893869323</v>
          </cell>
          <cell r="AI114">
            <v>-23857.230695828395</v>
          </cell>
          <cell r="AJ114">
            <v>-23886.075869020693</v>
          </cell>
          <cell r="AK114">
            <v>-26619.739333213722</v>
          </cell>
          <cell r="AL114">
            <v>-24684.659778638521</v>
          </cell>
          <cell r="AM114">
            <v>-24790.817249830812</v>
          </cell>
          <cell r="AN114">
            <v>-25024.213888331411</v>
          </cell>
          <cell r="AO114">
            <v>-22760.521797351157</v>
          </cell>
          <cell r="AP114">
            <v>-24315.053178538008</v>
          </cell>
          <cell r="AQ114">
            <v>0</v>
          </cell>
          <cell r="AR114">
            <v>0</v>
          </cell>
          <cell r="AS114">
            <v>0</v>
          </cell>
          <cell r="AT114">
            <v>0</v>
          </cell>
        </row>
        <row r="115">
          <cell r="E115" t="str">
            <v>Dividends</v>
          </cell>
          <cell r="F115" t="str">
            <v>[R$'000]</v>
          </cell>
          <cell r="M115">
            <v>-268848.69116084906</v>
          </cell>
          <cell r="N115">
            <v>-130015.03577543396</v>
          </cell>
          <cell r="O115">
            <v>-131901.4036113125</v>
          </cell>
          <cell r="P115">
            <v>-341646.37717530271</v>
          </cell>
          <cell r="Q115">
            <v>-335923.78394047008</v>
          </cell>
          <cell r="R115">
            <v>-338187.98790729849</v>
          </cell>
          <cell r="S115">
            <v>-338774.55648039037</v>
          </cell>
          <cell r="T115">
            <v>-339393.00214855594</v>
          </cell>
          <cell r="U115">
            <v>-340031.93955297291</v>
          </cell>
          <cell r="V115">
            <v>-340691.36869364115</v>
          </cell>
          <cell r="W115">
            <v>-341371.28957056027</v>
          </cell>
          <cell r="X115">
            <v>-286373.61497359176</v>
          </cell>
          <cell r="Y115">
            <v>-296055.53018551471</v>
          </cell>
          <cell r="Z115">
            <v>-296176.64068702259</v>
          </cell>
          <cell r="AA115">
            <v>-296317.95062079735</v>
          </cell>
          <cell r="AB115">
            <v>-296809.75229082326</v>
          </cell>
          <cell r="AC115">
            <v>-301261.55396084918</v>
          </cell>
          <cell r="AD115">
            <v>-305467.4547958622</v>
          </cell>
          <cell r="AE115">
            <v>-305467.4547958622</v>
          </cell>
          <cell r="AF115">
            <v>-305467.4547958622</v>
          </cell>
          <cell r="AG115">
            <v>-305467.45479586202</v>
          </cell>
          <cell r="AH115">
            <v>-305467.45479586208</v>
          </cell>
          <cell r="AI115">
            <v>-305467.4547958622</v>
          </cell>
          <cell r="AJ115">
            <v>-266672.2505291187</v>
          </cell>
          <cell r="AK115">
            <v>-204066.30239875667</v>
          </cell>
          <cell r="AL115">
            <v>-204483.39194977909</v>
          </cell>
          <cell r="AM115">
            <v>-204483.39194977909</v>
          </cell>
          <cell r="AN115">
            <v>-204483.39194977909</v>
          </cell>
          <cell r="AO115">
            <v>-204483.39194977895</v>
          </cell>
          <cell r="AP115">
            <v>-133387.43697225003</v>
          </cell>
          <cell r="AQ115">
            <v>0</v>
          </cell>
          <cell r="AR115">
            <v>0</v>
          </cell>
          <cell r="AS115">
            <v>0</v>
          </cell>
          <cell r="AT115">
            <v>0</v>
          </cell>
        </row>
        <row r="116">
          <cell r="E116" t="str">
            <v>Recap raising</v>
          </cell>
          <cell r="F116" t="str">
            <v>[R$'000]</v>
          </cell>
          <cell r="M116">
            <v>92289.87215257519</v>
          </cell>
          <cell r="N116">
            <v>101960.24584980193</v>
          </cell>
          <cell r="O116">
            <v>133578.52131951184</v>
          </cell>
          <cell r="P116">
            <v>155221.79989880652</v>
          </cell>
          <cell r="Q116">
            <v>98269.328639680447</v>
          </cell>
          <cell r="R116">
            <v>99893.422333742143</v>
          </cell>
          <cell r="S116">
            <v>98598.618047935248</v>
          </cell>
          <cell r="T116">
            <v>89353.642230041034</v>
          </cell>
          <cell r="U116">
            <v>72386.602812849684</v>
          </cell>
          <cell r="V116">
            <v>65415.921356142033</v>
          </cell>
          <cell r="W116">
            <v>56296.546111741976</v>
          </cell>
          <cell r="X116">
            <v>19460.108552734338</v>
          </cell>
          <cell r="Y116">
            <v>42382.357651094972</v>
          </cell>
          <cell r="Z116">
            <v>34388.733417928401</v>
          </cell>
          <cell r="AA116">
            <v>26131.936433375005</v>
          </cell>
          <cell r="AB116">
            <v>18590.784013783275</v>
          </cell>
          <cell r="AC116">
            <v>24373.452879045457</v>
          </cell>
          <cell r="AD116">
            <v>25871.226686033078</v>
          </cell>
          <cell r="AE116">
            <v>23741.850003059262</v>
          </cell>
          <cell r="AF116">
            <v>23144.328395480356</v>
          </cell>
          <cell r="AG116">
            <v>24282.714490904596</v>
          </cell>
          <cell r="AH116">
            <v>24260.029893869374</v>
          </cell>
          <cell r="AI116">
            <v>23857.230695828453</v>
          </cell>
          <cell r="AJ116">
            <v>34078.98225225247</v>
          </cell>
          <cell r="AK116">
            <v>16542.396272603786</v>
          </cell>
          <cell r="AL116">
            <v>24684.659778638546</v>
          </cell>
          <cell r="AM116">
            <v>24790.817249830849</v>
          </cell>
          <cell r="AN116">
            <v>25024.21388833144</v>
          </cell>
          <cell r="AO116">
            <v>22760.52179735119</v>
          </cell>
          <cell r="AP116">
            <v>0</v>
          </cell>
          <cell r="AQ116">
            <v>0</v>
          </cell>
          <cell r="AR116">
            <v>0</v>
          </cell>
          <cell r="AS116">
            <v>0</v>
          </cell>
          <cell r="AT116">
            <v>0</v>
          </cell>
        </row>
        <row r="117">
          <cell r="E117" t="str">
            <v xml:space="preserve">Financing Cash Flow </v>
          </cell>
          <cell r="F117" t="str">
            <v>[R$'000]</v>
          </cell>
          <cell r="M117">
            <v>-176558.81900827389</v>
          </cell>
          <cell r="N117">
            <v>-51127.257963775832</v>
          </cell>
          <cell r="O117">
            <v>-46885.411792394938</v>
          </cell>
          <cell r="P117">
            <v>-268381.73710696842</v>
          </cell>
          <cell r="Q117">
            <v>-358417.0651059635</v>
          </cell>
          <cell r="R117">
            <v>-360552.03950050654</v>
          </cell>
          <cell r="S117">
            <v>-361916.70648039039</v>
          </cell>
          <cell r="T117">
            <v>-363035.15214855596</v>
          </cell>
          <cell r="U117">
            <v>-364174.08955297293</v>
          </cell>
          <cell r="V117">
            <v>-365333.51869364118</v>
          </cell>
          <cell r="W117">
            <v>-366513.43957056029</v>
          </cell>
          <cell r="X117">
            <v>-337776.6845485511</v>
          </cell>
          <cell r="Y117">
            <v>-307062.96724278678</v>
          </cell>
          <cell r="Z117">
            <v>-307676.64068702253</v>
          </cell>
          <cell r="AA117">
            <v>-308317.95062079729</v>
          </cell>
          <cell r="AB117">
            <v>-308809.75229082315</v>
          </cell>
          <cell r="AC117">
            <v>-307261.55396084912</v>
          </cell>
          <cell r="AD117">
            <v>-305467.45479586214</v>
          </cell>
          <cell r="AE117">
            <v>-305467.45479586214</v>
          </cell>
          <cell r="AF117">
            <v>-305467.45479586214</v>
          </cell>
          <cell r="AG117">
            <v>-305467.45479586197</v>
          </cell>
          <cell r="AH117">
            <v>-305467.45479586202</v>
          </cell>
          <cell r="AI117">
            <v>-305467.45479586214</v>
          </cell>
          <cell r="AJ117">
            <v>-256479.34414588692</v>
          </cell>
          <cell r="AK117">
            <v>-214143.64545936661</v>
          </cell>
          <cell r="AL117">
            <v>-204483.39194977906</v>
          </cell>
          <cell r="AM117">
            <v>-204483.39194977906</v>
          </cell>
          <cell r="AN117">
            <v>-204483.39194977906</v>
          </cell>
          <cell r="AO117">
            <v>-204483.39194977892</v>
          </cell>
          <cell r="AP117">
            <v>-157702.49015078804</v>
          </cell>
          <cell r="AQ117">
            <v>0</v>
          </cell>
          <cell r="AR117">
            <v>0</v>
          </cell>
          <cell r="AS117">
            <v>0</v>
          </cell>
          <cell r="AT117">
            <v>0</v>
          </cell>
        </row>
        <row r="119">
          <cell r="E119" t="str">
            <v>Cash and Cash Equivalents - BoP</v>
          </cell>
          <cell r="F119" t="str">
            <v>[R$'000]</v>
          </cell>
          <cell r="M119">
            <v>36359</v>
          </cell>
          <cell r="N119">
            <v>15313.219869392109</v>
          </cell>
          <cell r="O119">
            <v>17245.657132868655</v>
          </cell>
          <cell r="P119">
            <v>24847.40669073665</v>
          </cell>
          <cell r="Q119">
            <v>55843.19186184468</v>
          </cell>
          <cell r="R119">
            <v>55939.728385149036</v>
          </cell>
          <cell r="S119">
            <v>55940.17185658653</v>
          </cell>
          <cell r="T119">
            <v>55940.17185658653</v>
          </cell>
          <cell r="U119">
            <v>55940.17185658653</v>
          </cell>
          <cell r="V119">
            <v>55940.17185658653</v>
          </cell>
          <cell r="W119">
            <v>55940.17185658653</v>
          </cell>
          <cell r="X119">
            <v>55940.17185658653</v>
          </cell>
          <cell r="Y119">
            <v>46084.907100113109</v>
          </cell>
          <cell r="Z119">
            <v>46084.448471442214</v>
          </cell>
          <cell r="AA119">
            <v>46084.448471442214</v>
          </cell>
          <cell r="AB119">
            <v>46084.448471442214</v>
          </cell>
          <cell r="AC119">
            <v>46084.448471442214</v>
          </cell>
          <cell r="AD119">
            <v>46084.448471442214</v>
          </cell>
          <cell r="AE119">
            <v>46084.448471442214</v>
          </cell>
          <cell r="AF119">
            <v>46084.448471442214</v>
          </cell>
          <cell r="AG119">
            <v>46084.448471442214</v>
          </cell>
          <cell r="AH119">
            <v>46084.448471442214</v>
          </cell>
          <cell r="AI119">
            <v>46084.448471442214</v>
          </cell>
          <cell r="AJ119">
            <v>46084.448471442214</v>
          </cell>
          <cell r="AK119">
            <v>54751.626908740262</v>
          </cell>
          <cell r="AL119">
            <v>54901.598787837545</v>
          </cell>
          <cell r="AM119">
            <v>54901.598787837545</v>
          </cell>
          <cell r="AN119">
            <v>54901.598787837545</v>
          </cell>
          <cell r="AO119">
            <v>54901.598787837545</v>
          </cell>
          <cell r="AP119">
            <v>54901.598787837545</v>
          </cell>
          <cell r="AQ119">
            <v>53931.377533112944</v>
          </cell>
          <cell r="AR119">
            <v>116320.05260463628</v>
          </cell>
          <cell r="AS119">
            <v>116320.05260463628</v>
          </cell>
          <cell r="AT119">
            <v>116320.05260463628</v>
          </cell>
        </row>
        <row r="120">
          <cell r="E120" t="str">
            <v>Cash Flow</v>
          </cell>
          <cell r="F120" t="str">
            <v>[R$'000]</v>
          </cell>
          <cell r="M120">
            <v>-21045.780130607891</v>
          </cell>
          <cell r="N120">
            <v>1932.4372634765459</v>
          </cell>
          <cell r="O120">
            <v>7601.7495578679955</v>
          </cell>
          <cell r="P120">
            <v>30995.785171108029</v>
          </cell>
          <cell r="Q120">
            <v>96.536523304355796</v>
          </cell>
          <cell r="R120">
            <v>0.44347143749473616</v>
          </cell>
          <cell r="S120">
            <v>0</v>
          </cell>
          <cell r="T120">
            <v>0</v>
          </cell>
          <cell r="U120">
            <v>0</v>
          </cell>
          <cell r="V120">
            <v>0</v>
          </cell>
          <cell r="W120">
            <v>0</v>
          </cell>
          <cell r="X120">
            <v>-9855.2647564734216</v>
          </cell>
          <cell r="Y120">
            <v>-0.45862867089454085</v>
          </cell>
          <cell r="Z120">
            <v>0</v>
          </cell>
          <cell r="AA120">
            <v>0</v>
          </cell>
          <cell r="AB120">
            <v>0</v>
          </cell>
          <cell r="AC120">
            <v>0</v>
          </cell>
          <cell r="AD120">
            <v>0</v>
          </cell>
          <cell r="AE120">
            <v>0</v>
          </cell>
          <cell r="AF120">
            <v>0</v>
          </cell>
          <cell r="AG120">
            <v>0</v>
          </cell>
          <cell r="AH120">
            <v>0</v>
          </cell>
          <cell r="AI120">
            <v>0</v>
          </cell>
          <cell r="AJ120">
            <v>8667.1784372980474</v>
          </cell>
          <cell r="AK120">
            <v>149.97187909728382</v>
          </cell>
          <cell r="AL120">
            <v>0</v>
          </cell>
          <cell r="AM120">
            <v>0</v>
          </cell>
          <cell r="AN120">
            <v>0</v>
          </cell>
          <cell r="AO120">
            <v>0</v>
          </cell>
          <cell r="AP120">
            <v>-970.22125472460175</v>
          </cell>
          <cell r="AQ120">
            <v>62388.675071523336</v>
          </cell>
          <cell r="AR120">
            <v>0</v>
          </cell>
          <cell r="AS120">
            <v>0</v>
          </cell>
          <cell r="AT120">
            <v>0</v>
          </cell>
        </row>
        <row r="121">
          <cell r="E121" t="str">
            <v>Cash and Cash Equivalents - EoP</v>
          </cell>
          <cell r="F121" t="str">
            <v>[R$'000]</v>
          </cell>
          <cell r="L121">
            <v>36359</v>
          </cell>
          <cell r="M121">
            <v>15313.219869392109</v>
          </cell>
          <cell r="N121">
            <v>17245.657132868655</v>
          </cell>
          <cell r="O121">
            <v>24847.40669073665</v>
          </cell>
          <cell r="P121">
            <v>55843.19186184468</v>
          </cell>
          <cell r="Q121">
            <v>55939.728385149036</v>
          </cell>
          <cell r="R121">
            <v>55940.17185658653</v>
          </cell>
          <cell r="S121">
            <v>55940.17185658653</v>
          </cell>
          <cell r="T121">
            <v>55940.17185658653</v>
          </cell>
          <cell r="U121">
            <v>55940.17185658653</v>
          </cell>
          <cell r="V121">
            <v>55940.17185658653</v>
          </cell>
          <cell r="W121">
            <v>55940.17185658653</v>
          </cell>
          <cell r="X121">
            <v>46084.907100113109</v>
          </cell>
          <cell r="Y121">
            <v>46084.448471442214</v>
          </cell>
          <cell r="Z121">
            <v>46084.448471442214</v>
          </cell>
          <cell r="AA121">
            <v>46084.448471442214</v>
          </cell>
          <cell r="AB121">
            <v>46084.448471442214</v>
          </cell>
          <cell r="AC121">
            <v>46084.448471442214</v>
          </cell>
          <cell r="AD121">
            <v>46084.448471442214</v>
          </cell>
          <cell r="AE121">
            <v>46084.448471442214</v>
          </cell>
          <cell r="AF121">
            <v>46084.448471442214</v>
          </cell>
          <cell r="AG121">
            <v>46084.448471442214</v>
          </cell>
          <cell r="AH121">
            <v>46084.448471442214</v>
          </cell>
          <cell r="AI121">
            <v>46084.448471442214</v>
          </cell>
          <cell r="AJ121">
            <v>54751.626908740262</v>
          </cell>
          <cell r="AK121">
            <v>54901.598787837545</v>
          </cell>
          <cell r="AL121">
            <v>54901.598787837545</v>
          </cell>
          <cell r="AM121">
            <v>54901.598787837545</v>
          </cell>
          <cell r="AN121">
            <v>54901.598787837545</v>
          </cell>
          <cell r="AO121">
            <v>54901.598787837545</v>
          </cell>
          <cell r="AP121">
            <v>53931.377533112944</v>
          </cell>
          <cell r="AQ121">
            <v>116320.05260463628</v>
          </cell>
          <cell r="AR121">
            <v>116320.05260463628</v>
          </cell>
          <cell r="AS121">
            <v>116320.05260463628</v>
          </cell>
          <cell r="AT121">
            <v>116320.05260463628</v>
          </cell>
        </row>
        <row r="124">
          <cell r="A124" t="str">
            <v>x</v>
          </cell>
          <cell r="B124">
            <v>5</v>
          </cell>
          <cell r="E124" t="str">
            <v xml:space="preserve">Revenues Build-up </v>
          </cell>
          <cell r="I124">
            <v>2013</v>
          </cell>
          <cell r="J124">
            <v>2014</v>
          </cell>
          <cell r="K124">
            <v>2015</v>
          </cell>
          <cell r="L124">
            <v>2016</v>
          </cell>
          <cell r="M124">
            <v>2017</v>
          </cell>
          <cell r="N124">
            <v>2018</v>
          </cell>
          <cell r="O124">
            <v>2019</v>
          </cell>
          <cell r="P124">
            <v>2020</v>
          </cell>
          <cell r="Q124">
            <v>2021</v>
          </cell>
          <cell r="R124">
            <v>2022</v>
          </cell>
          <cell r="S124">
            <v>2023</v>
          </cell>
          <cell r="T124">
            <v>2024</v>
          </cell>
          <cell r="U124">
            <v>2025</v>
          </cell>
          <cell r="V124">
            <v>2026</v>
          </cell>
          <cell r="W124">
            <v>2027</v>
          </cell>
          <cell r="X124">
            <v>2028</v>
          </cell>
          <cell r="Y124">
            <v>2029</v>
          </cell>
          <cell r="Z124">
            <v>2030</v>
          </cell>
          <cell r="AA124">
            <v>2031</v>
          </cell>
          <cell r="AB124">
            <v>2032</v>
          </cell>
          <cell r="AC124">
            <v>2033</v>
          </cell>
          <cell r="AD124">
            <v>2034</v>
          </cell>
          <cell r="AE124">
            <v>2035</v>
          </cell>
          <cell r="AF124">
            <v>2036</v>
          </cell>
          <cell r="AG124">
            <v>2037</v>
          </cell>
          <cell r="AH124">
            <v>2038</v>
          </cell>
          <cell r="AI124">
            <v>2039</v>
          </cell>
          <cell r="AJ124">
            <v>2040</v>
          </cell>
          <cell r="AK124">
            <v>2041</v>
          </cell>
          <cell r="AL124">
            <v>2042</v>
          </cell>
          <cell r="AM124">
            <v>2043</v>
          </cell>
          <cell r="AN124">
            <v>2044</v>
          </cell>
          <cell r="AO124">
            <v>2045</v>
          </cell>
          <cell r="AP124">
            <v>2046</v>
          </cell>
          <cell r="AQ124">
            <v>2047</v>
          </cell>
          <cell r="AR124">
            <v>2048</v>
          </cell>
          <cell r="AS124">
            <v>2049</v>
          </cell>
          <cell r="AT124">
            <v>2050</v>
          </cell>
        </row>
        <row r="126">
          <cell r="E126" t="str">
            <v>Production Plan</v>
          </cell>
          <cell r="I126">
            <v>2013</v>
          </cell>
          <cell r="J126">
            <v>2014</v>
          </cell>
          <cell r="K126">
            <v>2015</v>
          </cell>
          <cell r="L126">
            <v>2016</v>
          </cell>
          <cell r="M126">
            <v>2017</v>
          </cell>
          <cell r="N126">
            <v>2018</v>
          </cell>
          <cell r="O126">
            <v>2019</v>
          </cell>
          <cell r="P126">
            <v>2020</v>
          </cell>
          <cell r="Q126">
            <v>2021</v>
          </cell>
          <cell r="R126">
            <v>2022</v>
          </cell>
          <cell r="S126">
            <v>2023</v>
          </cell>
          <cell r="T126">
            <v>2024</v>
          </cell>
          <cell r="U126">
            <v>2025</v>
          </cell>
          <cell r="V126">
            <v>2026</v>
          </cell>
          <cell r="W126">
            <v>2027</v>
          </cell>
          <cell r="X126">
            <v>2028</v>
          </cell>
          <cell r="Y126">
            <v>2029</v>
          </cell>
          <cell r="Z126">
            <v>2030</v>
          </cell>
          <cell r="AA126">
            <v>2031</v>
          </cell>
          <cell r="AB126">
            <v>2032</v>
          </cell>
          <cell r="AC126">
            <v>2033</v>
          </cell>
          <cell r="AD126">
            <v>2034</v>
          </cell>
          <cell r="AE126">
            <v>2035</v>
          </cell>
          <cell r="AF126">
            <v>2036</v>
          </cell>
          <cell r="AG126">
            <v>2037</v>
          </cell>
          <cell r="AH126">
            <v>2038</v>
          </cell>
          <cell r="AI126">
            <v>2039</v>
          </cell>
          <cell r="AJ126">
            <v>2040</v>
          </cell>
          <cell r="AK126">
            <v>2041</v>
          </cell>
          <cell r="AL126">
            <v>2042</v>
          </cell>
          <cell r="AM126">
            <v>2043</v>
          </cell>
          <cell r="AN126">
            <v>2044</v>
          </cell>
          <cell r="AO126">
            <v>2045</v>
          </cell>
          <cell r="AP126">
            <v>2046</v>
          </cell>
          <cell r="AQ126">
            <v>2047</v>
          </cell>
          <cell r="AR126">
            <v>2048</v>
          </cell>
          <cell r="AS126">
            <v>2049</v>
          </cell>
          <cell r="AT126">
            <v>2050</v>
          </cell>
        </row>
        <row r="128">
          <cell r="E128" t="str">
            <v>Total mining resources - EoP</v>
          </cell>
          <cell r="F128" t="str">
            <v>[t'000]</v>
          </cell>
          <cell r="L128">
            <v>405700</v>
          </cell>
          <cell r="M128">
            <v>399700</v>
          </cell>
          <cell r="N128">
            <v>392494.49085</v>
          </cell>
          <cell r="O128">
            <v>385288.9817</v>
          </cell>
          <cell r="P128">
            <v>370877.96340000001</v>
          </cell>
          <cell r="Q128">
            <v>356466.94510000001</v>
          </cell>
          <cell r="R128">
            <v>342055.92680000002</v>
          </cell>
          <cell r="S128">
            <v>327644.90850000002</v>
          </cell>
          <cell r="T128">
            <v>313233.89020000002</v>
          </cell>
          <cell r="U128">
            <v>298822.87190000003</v>
          </cell>
          <cell r="V128">
            <v>284411.85360000003</v>
          </cell>
          <cell r="W128">
            <v>270000.83530000004</v>
          </cell>
          <cell r="X128">
            <v>255589.81700000004</v>
          </cell>
          <cell r="Y128">
            <v>241178.79870000004</v>
          </cell>
          <cell r="Z128">
            <v>226767.78040000005</v>
          </cell>
          <cell r="AA128">
            <v>212356.76210000005</v>
          </cell>
          <cell r="AB128">
            <v>197945.74380000005</v>
          </cell>
          <cell r="AC128">
            <v>183534.72550000006</v>
          </cell>
          <cell r="AD128">
            <v>169123.70720000006</v>
          </cell>
          <cell r="AE128">
            <v>154712.68890000007</v>
          </cell>
          <cell r="AF128">
            <v>140301.67060000007</v>
          </cell>
          <cell r="AG128">
            <v>125890.65230000007</v>
          </cell>
          <cell r="AH128">
            <v>111479.63400000006</v>
          </cell>
          <cell r="AI128">
            <v>97068.615700000068</v>
          </cell>
          <cell r="AJ128">
            <v>82657.597400000072</v>
          </cell>
          <cell r="AK128">
            <v>68246.579100000075</v>
          </cell>
          <cell r="AL128">
            <v>53835.560800000072</v>
          </cell>
          <cell r="AM128">
            <v>39424.542500000069</v>
          </cell>
          <cell r="AN128">
            <v>25013.524200000065</v>
          </cell>
          <cell r="AO128">
            <v>10602.505900000064</v>
          </cell>
          <cell r="AP128">
            <v>0</v>
          </cell>
          <cell r="AQ128">
            <v>0</v>
          </cell>
          <cell r="AR128">
            <v>0</v>
          </cell>
          <cell r="AS128">
            <v>0</v>
          </cell>
          <cell r="AT128">
            <v>0</v>
          </cell>
        </row>
        <row r="129">
          <cell r="E129" t="str">
            <v>ROM &gt; 45%</v>
          </cell>
          <cell r="F129" t="str">
            <v>[t'000]</v>
          </cell>
          <cell r="L129">
            <v>226500</v>
          </cell>
          <cell r="M129">
            <v>220500</v>
          </cell>
          <cell r="N129">
            <v>213294.49085</v>
          </cell>
          <cell r="O129">
            <v>206088.9817</v>
          </cell>
          <cell r="P129">
            <v>191677.96340000001</v>
          </cell>
          <cell r="Q129">
            <v>177266.94510000001</v>
          </cell>
          <cell r="R129">
            <v>162855.92680000002</v>
          </cell>
          <cell r="S129">
            <v>148444.90850000002</v>
          </cell>
          <cell r="T129">
            <v>134033.89020000002</v>
          </cell>
          <cell r="U129">
            <v>119622.87190000003</v>
          </cell>
          <cell r="V129">
            <v>105211.85360000003</v>
          </cell>
          <cell r="W129">
            <v>90800.835300000035</v>
          </cell>
          <cell r="X129">
            <v>83595.326150000037</v>
          </cell>
          <cell r="Y129">
            <v>76389.817000000039</v>
          </cell>
          <cell r="Z129">
            <v>69184.307850000041</v>
          </cell>
          <cell r="AA129">
            <v>61978.798700000043</v>
          </cell>
          <cell r="AB129">
            <v>54773.289550000045</v>
          </cell>
          <cell r="AC129">
            <v>47567.780400000047</v>
          </cell>
          <cell r="AD129">
            <v>40362.271250000049</v>
          </cell>
          <cell r="AE129">
            <v>33156.762100000051</v>
          </cell>
          <cell r="AF129">
            <v>25951.252950000049</v>
          </cell>
          <cell r="AG129">
            <v>18745.743800000047</v>
          </cell>
          <cell r="AH129">
            <v>11540.234650000046</v>
          </cell>
          <cell r="AI129">
            <v>4334.725500000045</v>
          </cell>
          <cell r="AJ129">
            <v>0</v>
          </cell>
          <cell r="AK129">
            <v>0</v>
          </cell>
          <cell r="AL129">
            <v>0</v>
          </cell>
          <cell r="AM129">
            <v>0</v>
          </cell>
          <cell r="AN129">
            <v>0</v>
          </cell>
          <cell r="AO129">
            <v>0</v>
          </cell>
          <cell r="AP129">
            <v>0</v>
          </cell>
          <cell r="AQ129">
            <v>0</v>
          </cell>
          <cell r="AR129">
            <v>0</v>
          </cell>
          <cell r="AS129">
            <v>0</v>
          </cell>
          <cell r="AT129">
            <v>0</v>
          </cell>
        </row>
        <row r="130">
          <cell r="E130" t="str">
            <v>ROM &lt; 45%</v>
          </cell>
          <cell r="F130" t="str">
            <v>[t'000]</v>
          </cell>
          <cell r="L130">
            <v>179200</v>
          </cell>
          <cell r="M130">
            <v>179200</v>
          </cell>
          <cell r="N130">
            <v>179200</v>
          </cell>
          <cell r="O130">
            <v>179200</v>
          </cell>
          <cell r="P130">
            <v>179200</v>
          </cell>
          <cell r="Q130">
            <v>179200</v>
          </cell>
          <cell r="R130">
            <v>179200</v>
          </cell>
          <cell r="S130">
            <v>179200</v>
          </cell>
          <cell r="T130">
            <v>179200</v>
          </cell>
          <cell r="U130">
            <v>179200</v>
          </cell>
          <cell r="V130">
            <v>179200</v>
          </cell>
          <cell r="W130">
            <v>179200</v>
          </cell>
          <cell r="X130">
            <v>171994.49085</v>
          </cell>
          <cell r="Y130">
            <v>164788.9817</v>
          </cell>
          <cell r="Z130">
            <v>157583.47255000001</v>
          </cell>
          <cell r="AA130">
            <v>150377.96340000001</v>
          </cell>
          <cell r="AB130">
            <v>143172.45425000001</v>
          </cell>
          <cell r="AC130">
            <v>135966.94510000001</v>
          </cell>
          <cell r="AD130">
            <v>128761.43595000001</v>
          </cell>
          <cell r="AE130">
            <v>121555.92680000002</v>
          </cell>
          <cell r="AF130">
            <v>114350.41765000002</v>
          </cell>
          <cell r="AG130">
            <v>107144.90850000002</v>
          </cell>
          <cell r="AH130">
            <v>99939.399350000022</v>
          </cell>
          <cell r="AI130">
            <v>92733.890200000023</v>
          </cell>
          <cell r="AJ130">
            <v>82657.597400000072</v>
          </cell>
          <cell r="AK130">
            <v>68246.579100000075</v>
          </cell>
          <cell r="AL130">
            <v>53835.560800000072</v>
          </cell>
          <cell r="AM130">
            <v>39424.542500000069</v>
          </cell>
          <cell r="AN130">
            <v>25013.524200000065</v>
          </cell>
          <cell r="AO130">
            <v>10602.505900000064</v>
          </cell>
          <cell r="AP130">
            <v>0</v>
          </cell>
          <cell r="AQ130">
            <v>0</v>
          </cell>
          <cell r="AR130">
            <v>0</v>
          </cell>
          <cell r="AS130">
            <v>0</v>
          </cell>
          <cell r="AT130">
            <v>0</v>
          </cell>
        </row>
        <row r="132">
          <cell r="E132" t="str">
            <v>Movimentation</v>
          </cell>
          <cell r="F132" t="str">
            <v>[t'000]</v>
          </cell>
          <cell r="I132">
            <v>12358.739991</v>
          </cell>
          <cell r="J132">
            <v>13939.835133236</v>
          </cell>
          <cell r="K132">
            <v>14896.842353999997</v>
          </cell>
          <cell r="L132">
            <v>10983.613239999999</v>
          </cell>
          <cell r="M132">
            <v>15500</v>
          </cell>
          <cell r="N132">
            <v>19543.509149999998</v>
          </cell>
          <cell r="O132">
            <v>19543.509149999998</v>
          </cell>
          <cell r="P132">
            <v>35387.018299999996</v>
          </cell>
          <cell r="Q132">
            <v>35387.018299999996</v>
          </cell>
          <cell r="R132">
            <v>35387.018299999996</v>
          </cell>
          <cell r="S132">
            <v>35387.018299999996</v>
          </cell>
          <cell r="T132">
            <v>35387.018299999996</v>
          </cell>
          <cell r="U132">
            <v>35387.018299999996</v>
          </cell>
          <cell r="V132">
            <v>35387.018299999996</v>
          </cell>
          <cell r="W132">
            <v>35387.018299999996</v>
          </cell>
          <cell r="X132">
            <v>21911.018299999996</v>
          </cell>
          <cell r="Y132">
            <v>21911.018299999996</v>
          </cell>
          <cell r="Z132">
            <v>21911.018299999996</v>
          </cell>
          <cell r="AA132">
            <v>21911.018299999996</v>
          </cell>
          <cell r="AB132">
            <v>21911.018299999996</v>
          </cell>
          <cell r="AC132">
            <v>21911.018299999996</v>
          </cell>
          <cell r="AD132">
            <v>21911.018299999996</v>
          </cell>
          <cell r="AE132">
            <v>21911.018299999996</v>
          </cell>
          <cell r="AF132">
            <v>21911.018299999996</v>
          </cell>
          <cell r="AG132">
            <v>21911.018299999996</v>
          </cell>
          <cell r="AH132">
            <v>21911.018300000011</v>
          </cell>
          <cell r="AI132">
            <v>21911.018299999996</v>
          </cell>
          <cell r="AJ132">
            <v>21911.018299999996</v>
          </cell>
          <cell r="AK132">
            <v>21911.018299999996</v>
          </cell>
          <cell r="AL132">
            <v>21911.018300000003</v>
          </cell>
          <cell r="AM132">
            <v>21911.018300000003</v>
          </cell>
          <cell r="AN132">
            <v>21911.018300000003</v>
          </cell>
          <cell r="AO132">
            <v>21911.018300000003</v>
          </cell>
          <cell r="AP132">
            <v>18102.505900000062</v>
          </cell>
          <cell r="AQ132">
            <v>0</v>
          </cell>
          <cell r="AR132">
            <v>0</v>
          </cell>
          <cell r="AS132">
            <v>0</v>
          </cell>
          <cell r="AT132">
            <v>0</v>
          </cell>
        </row>
        <row r="133">
          <cell r="E133" t="str">
            <v xml:space="preserve">ROM Extraction </v>
          </cell>
          <cell r="F133" t="str">
            <v>[t'000]</v>
          </cell>
          <cell r="I133">
            <v>5535.2562000000016</v>
          </cell>
          <cell r="J133">
            <v>6070.0073472360009</v>
          </cell>
          <cell r="K133">
            <v>6049.4591510000009</v>
          </cell>
          <cell r="L133">
            <v>5535.7478099999989</v>
          </cell>
          <cell r="M133">
            <v>6000</v>
          </cell>
          <cell r="N133">
            <v>7205.509149999998</v>
          </cell>
          <cell r="O133">
            <v>7205.509149999998</v>
          </cell>
          <cell r="P133">
            <v>14411.018299999996</v>
          </cell>
          <cell r="Q133">
            <v>14411.018299999996</v>
          </cell>
          <cell r="R133">
            <v>14411.018299999996</v>
          </cell>
          <cell r="S133">
            <v>14411.018299999996</v>
          </cell>
          <cell r="T133">
            <v>14411.018299999996</v>
          </cell>
          <cell r="U133">
            <v>14411.018299999996</v>
          </cell>
          <cell r="V133">
            <v>14411.018299999996</v>
          </cell>
          <cell r="W133">
            <v>14411.018299999996</v>
          </cell>
          <cell r="X133">
            <v>14411.018299999996</v>
          </cell>
          <cell r="Y133">
            <v>14411.018299999996</v>
          </cell>
          <cell r="Z133">
            <v>14411.018299999996</v>
          </cell>
          <cell r="AA133">
            <v>14411.018299999996</v>
          </cell>
          <cell r="AB133">
            <v>14411.018299999996</v>
          </cell>
          <cell r="AC133">
            <v>14411.018299999996</v>
          </cell>
          <cell r="AD133">
            <v>14411.018299999996</v>
          </cell>
          <cell r="AE133">
            <v>14411.018299999996</v>
          </cell>
          <cell r="AF133">
            <v>14411.018299999996</v>
          </cell>
          <cell r="AG133">
            <v>14411.018299999996</v>
          </cell>
          <cell r="AH133">
            <v>14411.018300000011</v>
          </cell>
          <cell r="AI133">
            <v>14411.018299999996</v>
          </cell>
          <cell r="AJ133">
            <v>14411.018299999996</v>
          </cell>
          <cell r="AK133">
            <v>14411.018299999996</v>
          </cell>
          <cell r="AL133">
            <v>14411.018300000003</v>
          </cell>
          <cell r="AM133">
            <v>14411.018300000003</v>
          </cell>
          <cell r="AN133">
            <v>14411.018300000003</v>
          </cell>
          <cell r="AO133">
            <v>14411.018300000002</v>
          </cell>
          <cell r="AP133">
            <v>10602.505900000064</v>
          </cell>
          <cell r="AQ133">
            <v>0</v>
          </cell>
          <cell r="AR133">
            <v>0</v>
          </cell>
          <cell r="AS133">
            <v>0</v>
          </cell>
          <cell r="AT133">
            <v>0</v>
          </cell>
        </row>
        <row r="134">
          <cell r="E134" t="str">
            <v>Waste removal</v>
          </cell>
          <cell r="F134" t="str">
            <v>[t'000]</v>
          </cell>
          <cell r="I134">
            <v>5469.8613839999989</v>
          </cell>
          <cell r="J134">
            <v>4739.7240780000002</v>
          </cell>
          <cell r="K134">
            <v>5269.284931000002</v>
          </cell>
          <cell r="L134">
            <v>611.40548999999999</v>
          </cell>
          <cell r="M134">
            <v>5000</v>
          </cell>
          <cell r="N134">
            <v>7738</v>
          </cell>
          <cell r="O134">
            <v>7738</v>
          </cell>
          <cell r="P134">
            <v>15476</v>
          </cell>
          <cell r="Q134">
            <v>15476</v>
          </cell>
          <cell r="R134">
            <v>15476</v>
          </cell>
          <cell r="S134">
            <v>15476</v>
          </cell>
          <cell r="T134">
            <v>15476</v>
          </cell>
          <cell r="U134">
            <v>15476</v>
          </cell>
          <cell r="V134">
            <v>15476</v>
          </cell>
          <cell r="W134">
            <v>15476</v>
          </cell>
          <cell r="X134">
            <v>2000</v>
          </cell>
          <cell r="Y134">
            <v>2000</v>
          </cell>
          <cell r="Z134">
            <v>2000</v>
          </cell>
          <cell r="AA134">
            <v>2000</v>
          </cell>
          <cell r="AB134">
            <v>2000</v>
          </cell>
          <cell r="AC134">
            <v>2000</v>
          </cell>
          <cell r="AD134">
            <v>2000</v>
          </cell>
          <cell r="AE134">
            <v>2000</v>
          </cell>
          <cell r="AF134">
            <v>2000</v>
          </cell>
          <cell r="AG134">
            <v>2000</v>
          </cell>
          <cell r="AH134">
            <v>2000</v>
          </cell>
          <cell r="AI134">
            <v>2000</v>
          </cell>
          <cell r="AJ134">
            <v>2000</v>
          </cell>
          <cell r="AK134">
            <v>2000</v>
          </cell>
          <cell r="AL134">
            <v>2000</v>
          </cell>
          <cell r="AM134">
            <v>2000</v>
          </cell>
          <cell r="AN134">
            <v>2000</v>
          </cell>
          <cell r="AO134">
            <v>2000</v>
          </cell>
          <cell r="AP134">
            <v>2000</v>
          </cell>
          <cell r="AQ134">
            <v>0</v>
          </cell>
          <cell r="AR134">
            <v>0</v>
          </cell>
          <cell r="AS134">
            <v>0</v>
          </cell>
          <cell r="AT134">
            <v>0</v>
          </cell>
        </row>
        <row r="135">
          <cell r="E135" t="str">
            <v>Others internal movimentation</v>
          </cell>
          <cell r="F135" t="str">
            <v>[t'000]</v>
          </cell>
          <cell r="I135">
            <v>1353.6224070000005</v>
          </cell>
          <cell r="J135">
            <v>3130.1037079999978</v>
          </cell>
          <cell r="K135">
            <v>3578.0982719999938</v>
          </cell>
          <cell r="L135">
            <v>4836.4599400000006</v>
          </cell>
          <cell r="M135">
            <v>3499.9999999999995</v>
          </cell>
          <cell r="N135">
            <v>3500</v>
          </cell>
          <cell r="O135">
            <v>3500</v>
          </cell>
          <cell r="P135">
            <v>4000</v>
          </cell>
          <cell r="Q135">
            <v>4000</v>
          </cell>
          <cell r="R135">
            <v>4000</v>
          </cell>
          <cell r="S135">
            <v>4000</v>
          </cell>
          <cell r="T135">
            <v>4000</v>
          </cell>
          <cell r="U135">
            <v>4000</v>
          </cell>
          <cell r="V135">
            <v>4000</v>
          </cell>
          <cell r="W135">
            <v>4000</v>
          </cell>
          <cell r="X135">
            <v>4000</v>
          </cell>
          <cell r="Y135">
            <v>4000</v>
          </cell>
          <cell r="Z135">
            <v>4000</v>
          </cell>
          <cell r="AA135">
            <v>4000</v>
          </cell>
          <cell r="AB135">
            <v>4000</v>
          </cell>
          <cell r="AC135">
            <v>4000</v>
          </cell>
          <cell r="AD135">
            <v>4000</v>
          </cell>
          <cell r="AE135">
            <v>4000</v>
          </cell>
          <cell r="AF135">
            <v>4000</v>
          </cell>
          <cell r="AG135">
            <v>4000</v>
          </cell>
          <cell r="AH135">
            <v>4000</v>
          </cell>
          <cell r="AI135">
            <v>4000</v>
          </cell>
          <cell r="AJ135">
            <v>4000</v>
          </cell>
          <cell r="AK135">
            <v>4000</v>
          </cell>
          <cell r="AL135">
            <v>4000</v>
          </cell>
          <cell r="AM135">
            <v>4000</v>
          </cell>
          <cell r="AN135">
            <v>4000</v>
          </cell>
          <cell r="AO135">
            <v>4000</v>
          </cell>
          <cell r="AP135">
            <v>4000</v>
          </cell>
          <cell r="AQ135">
            <v>0</v>
          </cell>
          <cell r="AR135">
            <v>0</v>
          </cell>
          <cell r="AS135">
            <v>0</v>
          </cell>
          <cell r="AT135">
            <v>0</v>
          </cell>
        </row>
        <row r="136">
          <cell r="E136" t="str">
            <v>Finished Products movimentation</v>
          </cell>
          <cell r="F136" t="str">
            <v>[t'000]</v>
          </cell>
          <cell r="I136">
            <v>0</v>
          </cell>
          <cell r="J136">
            <v>0</v>
          </cell>
          <cell r="K136">
            <v>0</v>
          </cell>
          <cell r="L136">
            <v>0</v>
          </cell>
          <cell r="M136">
            <v>1000.0000000000001</v>
          </cell>
          <cell r="N136">
            <v>1100</v>
          </cell>
          <cell r="O136">
            <v>1100</v>
          </cell>
          <cell r="P136">
            <v>1500</v>
          </cell>
          <cell r="Q136">
            <v>1500</v>
          </cell>
          <cell r="R136">
            <v>1500</v>
          </cell>
          <cell r="S136">
            <v>1500</v>
          </cell>
          <cell r="T136">
            <v>1500</v>
          </cell>
          <cell r="U136">
            <v>1500</v>
          </cell>
          <cell r="V136">
            <v>1500</v>
          </cell>
          <cell r="W136">
            <v>1500</v>
          </cell>
          <cell r="X136">
            <v>1500</v>
          </cell>
          <cell r="Y136">
            <v>1500</v>
          </cell>
          <cell r="Z136">
            <v>1500</v>
          </cell>
          <cell r="AA136">
            <v>1500</v>
          </cell>
          <cell r="AB136">
            <v>1500</v>
          </cell>
          <cell r="AC136">
            <v>1500</v>
          </cell>
          <cell r="AD136">
            <v>1500</v>
          </cell>
          <cell r="AE136">
            <v>1500</v>
          </cell>
          <cell r="AF136">
            <v>1500</v>
          </cell>
          <cell r="AG136">
            <v>1500</v>
          </cell>
          <cell r="AH136">
            <v>1500</v>
          </cell>
          <cell r="AI136">
            <v>1500</v>
          </cell>
          <cell r="AJ136">
            <v>1500</v>
          </cell>
          <cell r="AK136">
            <v>1500</v>
          </cell>
          <cell r="AL136">
            <v>1500</v>
          </cell>
          <cell r="AM136">
            <v>1500</v>
          </cell>
          <cell r="AN136">
            <v>1500</v>
          </cell>
          <cell r="AO136">
            <v>1500</v>
          </cell>
          <cell r="AP136">
            <v>1500</v>
          </cell>
          <cell r="AQ136">
            <v>0</v>
          </cell>
          <cell r="AR136">
            <v>0</v>
          </cell>
          <cell r="AS136">
            <v>0</v>
          </cell>
          <cell r="AT136">
            <v>0</v>
          </cell>
        </row>
        <row r="138">
          <cell r="E138" t="str">
            <v>Mass Recovery</v>
          </cell>
          <cell r="F138" t="str">
            <v>[%]</v>
          </cell>
          <cell r="I138">
            <v>0.74541018153233773</v>
          </cell>
          <cell r="J138">
            <v>0.71642026474583831</v>
          </cell>
          <cell r="K138">
            <v>0.69872329764637742</v>
          </cell>
          <cell r="L138">
            <v>0.72299284401847197</v>
          </cell>
          <cell r="M138">
            <v>0.70003692500000003</v>
          </cell>
          <cell r="N138">
            <v>0.70000000000000018</v>
          </cell>
          <cell r="O138">
            <v>0.70000000000000018</v>
          </cell>
          <cell r="P138">
            <v>0.70000000000000018</v>
          </cell>
          <cell r="Q138">
            <v>0.70000000000000018</v>
          </cell>
          <cell r="R138">
            <v>0.70003116261395648</v>
          </cell>
          <cell r="S138">
            <v>0.70003116261395648</v>
          </cell>
          <cell r="T138">
            <v>0.70003116261395648</v>
          </cell>
          <cell r="U138">
            <v>0.70003116261395648</v>
          </cell>
          <cell r="V138">
            <v>0.70003116261395648</v>
          </cell>
          <cell r="W138">
            <v>0.70003116261395648</v>
          </cell>
          <cell r="X138">
            <v>0.6000155813069783</v>
          </cell>
          <cell r="Y138">
            <v>0.59998335359847554</v>
          </cell>
          <cell r="Z138">
            <v>0.59998335359847554</v>
          </cell>
          <cell r="AA138">
            <v>0.59998335359847554</v>
          </cell>
          <cell r="AB138">
            <v>0.59998335359847554</v>
          </cell>
          <cell r="AC138">
            <v>0.59998335359847554</v>
          </cell>
          <cell r="AD138">
            <v>0.59998335359847554</v>
          </cell>
          <cell r="AE138">
            <v>0.59998335359847554</v>
          </cell>
          <cell r="AF138">
            <v>0.59998335359847554</v>
          </cell>
          <cell r="AG138">
            <v>0.59998335359847554</v>
          </cell>
          <cell r="AH138">
            <v>0.59998335359847488</v>
          </cell>
          <cell r="AI138">
            <v>0.59998335359847554</v>
          </cell>
          <cell r="AJ138">
            <v>0.54443928926761986</v>
          </cell>
          <cell r="AK138">
            <v>0.5</v>
          </cell>
          <cell r="AL138">
            <v>0.5</v>
          </cell>
          <cell r="AM138">
            <v>0.5</v>
          </cell>
          <cell r="AN138">
            <v>0.5</v>
          </cell>
          <cell r="AO138">
            <v>0.5</v>
          </cell>
          <cell r="AP138">
            <v>0.5</v>
          </cell>
          <cell r="AQ138">
            <v>0</v>
          </cell>
          <cell r="AR138">
            <v>0</v>
          </cell>
          <cell r="AS138">
            <v>0</v>
          </cell>
          <cell r="AT138">
            <v>0</v>
          </cell>
        </row>
        <row r="139">
          <cell r="E139" t="str">
            <v>NPO</v>
          </cell>
          <cell r="F139" t="str">
            <v>[%]</v>
          </cell>
          <cell r="I139">
            <v>0.11980522722326745</v>
          </cell>
          <cell r="J139">
            <v>7.2412811475121019E-2</v>
          </cell>
          <cell r="K139">
            <v>5.301896505288238E-2</v>
          </cell>
          <cell r="L139">
            <v>5.3916734279683964E-2</v>
          </cell>
          <cell r="M139">
            <v>5.0002637500000002E-2</v>
          </cell>
          <cell r="N139">
            <v>5.0000000000000017E-2</v>
          </cell>
          <cell r="O139">
            <v>5.0000000000000017E-2</v>
          </cell>
          <cell r="P139">
            <v>5.0000000000000017E-2</v>
          </cell>
          <cell r="Q139">
            <v>5.0000000000000017E-2</v>
          </cell>
          <cell r="R139">
            <v>5.0031162613956306E-2</v>
          </cell>
          <cell r="S139">
            <v>5.0031162613956306E-2</v>
          </cell>
          <cell r="T139">
            <v>5.0031162613956306E-2</v>
          </cell>
          <cell r="U139">
            <v>5.0031162613956306E-2</v>
          </cell>
          <cell r="V139">
            <v>5.0031162613956306E-2</v>
          </cell>
          <cell r="W139">
            <v>5.0031162613956306E-2</v>
          </cell>
          <cell r="X139">
            <v>2.5015581306978153E-2</v>
          </cell>
          <cell r="Y139">
            <v>2.5015581306978153E-2</v>
          </cell>
          <cell r="Z139">
            <v>2.5015581306978153E-2</v>
          </cell>
          <cell r="AA139">
            <v>2.5015581306978153E-2</v>
          </cell>
          <cell r="AB139">
            <v>2.5015581306978153E-2</v>
          </cell>
          <cell r="AC139">
            <v>2.5015581306978153E-2</v>
          </cell>
          <cell r="AD139">
            <v>2.5015581306978153E-2</v>
          </cell>
          <cell r="AE139">
            <v>2.5015581306978153E-2</v>
          </cell>
          <cell r="AF139">
            <v>2.5015581306978153E-2</v>
          </cell>
          <cell r="AG139">
            <v>2.5015581306978153E-2</v>
          </cell>
          <cell r="AH139">
            <v>2.5015581306978129E-2</v>
          </cell>
          <cell r="AI139">
            <v>2.5015581306978153E-2</v>
          </cell>
          <cell r="AJ139">
            <v>1.5048995973960097E-2</v>
          </cell>
          <cell r="AK139">
            <v>0</v>
          </cell>
          <cell r="AL139">
            <v>0</v>
          </cell>
          <cell r="AM139">
            <v>0</v>
          </cell>
          <cell r="AN139">
            <v>0</v>
          </cell>
          <cell r="AO139">
            <v>0</v>
          </cell>
          <cell r="AP139">
            <v>0</v>
          </cell>
          <cell r="AQ139">
            <v>0</v>
          </cell>
          <cell r="AR139">
            <v>0</v>
          </cell>
          <cell r="AS139">
            <v>0</v>
          </cell>
          <cell r="AT139">
            <v>0</v>
          </cell>
        </row>
        <row r="140">
          <cell r="E140" t="str">
            <v>Hematitinha</v>
          </cell>
          <cell r="F140" t="str">
            <v>[%]</v>
          </cell>
          <cell r="I140">
            <v>7.3494894846962977E-2</v>
          </cell>
          <cell r="J140">
            <v>8.8064580562890155E-2</v>
          </cell>
          <cell r="K140">
            <v>6.6045387512363302E-2</v>
          </cell>
          <cell r="L140">
            <v>6.8863381157664882E-2</v>
          </cell>
          <cell r="M140">
            <v>9.600506400000014E-3</v>
          </cell>
          <cell r="N140">
            <v>2.9046000000000009E-2</v>
          </cell>
          <cell r="O140">
            <v>2.9046000000000009E-2</v>
          </cell>
          <cell r="P140">
            <v>2.9046000000000009E-2</v>
          </cell>
          <cell r="Q140">
            <v>2.9046000000000009E-2</v>
          </cell>
          <cell r="R140">
            <v>2.9046000000000009E-2</v>
          </cell>
          <cell r="S140">
            <v>2.9046000000000009E-2</v>
          </cell>
          <cell r="T140">
            <v>2.9046000000000009E-2</v>
          </cell>
          <cell r="U140">
            <v>2.9046000000000009E-2</v>
          </cell>
          <cell r="V140">
            <v>2.9046000000000009E-2</v>
          </cell>
          <cell r="W140">
            <v>2.9046000000000009E-2</v>
          </cell>
          <cell r="X140">
            <v>1.4523000000000005E-2</v>
          </cell>
          <cell r="Y140">
            <v>1.4523000000000005E-2</v>
          </cell>
          <cell r="Z140">
            <v>1.4523000000000005E-2</v>
          </cell>
          <cell r="AA140">
            <v>1.4523000000000005E-2</v>
          </cell>
          <cell r="AB140">
            <v>1.4523000000000005E-2</v>
          </cell>
          <cell r="AC140">
            <v>1.4523000000000005E-2</v>
          </cell>
          <cell r="AD140">
            <v>1.4523000000000005E-2</v>
          </cell>
          <cell r="AE140">
            <v>1.4523000000000005E-2</v>
          </cell>
          <cell r="AF140">
            <v>1.4523000000000005E-2</v>
          </cell>
          <cell r="AG140">
            <v>1.4523000000000005E-2</v>
          </cell>
          <cell r="AH140">
            <v>1.4522999999999989E-2</v>
          </cell>
          <cell r="AI140">
            <v>1.4523000000000005E-2</v>
          </cell>
          <cell r="AJ140">
            <v>8.7368174997738586E-3</v>
          </cell>
          <cell r="AK140">
            <v>0</v>
          </cell>
          <cell r="AL140">
            <v>0</v>
          </cell>
          <cell r="AM140">
            <v>0</v>
          </cell>
          <cell r="AN140">
            <v>0</v>
          </cell>
          <cell r="AO140">
            <v>0</v>
          </cell>
          <cell r="AP140">
            <v>0</v>
          </cell>
          <cell r="AQ140">
            <v>0</v>
          </cell>
          <cell r="AR140">
            <v>0</v>
          </cell>
          <cell r="AS140">
            <v>0</v>
          </cell>
          <cell r="AT140">
            <v>0</v>
          </cell>
        </row>
        <row r="141">
          <cell r="E141" t="str">
            <v>Sinter feed</v>
          </cell>
          <cell r="F141" t="str">
            <v>[%]</v>
          </cell>
          <cell r="I141">
            <v>0.26999332087103739</v>
          </cell>
          <cell r="J141">
            <v>0.24634478387771586</v>
          </cell>
          <cell r="K141">
            <v>0.35395329002977688</v>
          </cell>
          <cell r="L141">
            <v>0.35139665638448569</v>
          </cell>
          <cell r="M141">
            <v>0.18740988535</v>
          </cell>
          <cell r="N141">
            <v>0.23277400000000009</v>
          </cell>
          <cell r="O141">
            <v>0.23277400000000009</v>
          </cell>
          <cell r="P141">
            <v>0.23277400000000009</v>
          </cell>
          <cell r="Q141">
            <v>0.23277400000000009</v>
          </cell>
          <cell r="R141">
            <v>0.23277400000000009</v>
          </cell>
          <cell r="S141">
            <v>0.23277400000000009</v>
          </cell>
          <cell r="T141">
            <v>0.23277400000000009</v>
          </cell>
          <cell r="U141">
            <v>0.23277400000000009</v>
          </cell>
          <cell r="V141">
            <v>0.23277400000000009</v>
          </cell>
          <cell r="W141">
            <v>0.23277400000000009</v>
          </cell>
          <cell r="X141">
            <v>0.11638700000000005</v>
          </cell>
          <cell r="Y141">
            <v>0.11638700000000005</v>
          </cell>
          <cell r="Z141">
            <v>0.11638700000000005</v>
          </cell>
          <cell r="AA141">
            <v>0.11638700000000005</v>
          </cell>
          <cell r="AB141">
            <v>0.11638700000000005</v>
          </cell>
          <cell r="AC141">
            <v>0.11638700000000005</v>
          </cell>
          <cell r="AD141">
            <v>0.11638700000000005</v>
          </cell>
          <cell r="AE141">
            <v>0.11638700000000005</v>
          </cell>
          <cell r="AF141">
            <v>0.11638700000000005</v>
          </cell>
          <cell r="AG141">
            <v>0.11638700000000005</v>
          </cell>
          <cell r="AH141">
            <v>0.11638699999999992</v>
          </cell>
          <cell r="AI141">
            <v>0.11638700000000005</v>
          </cell>
          <cell r="AJ141">
            <v>7.0016661732849983E-2</v>
          </cell>
          <cell r="AK141">
            <v>0</v>
          </cell>
          <cell r="AL141">
            <v>0</v>
          </cell>
          <cell r="AM141">
            <v>0</v>
          </cell>
          <cell r="AN141">
            <v>0</v>
          </cell>
          <cell r="AO141">
            <v>0</v>
          </cell>
          <cell r="AP141">
            <v>0</v>
          </cell>
          <cell r="AQ141">
            <v>0</v>
          </cell>
          <cell r="AR141">
            <v>0</v>
          </cell>
          <cell r="AS141">
            <v>0</v>
          </cell>
          <cell r="AT141">
            <v>0</v>
          </cell>
        </row>
        <row r="142">
          <cell r="E142" t="str">
            <v>Sinter feed silicoso</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row>
        <row r="143">
          <cell r="E143" t="str">
            <v>Pellet feed</v>
          </cell>
          <cell r="F143" t="str">
            <v>[%]</v>
          </cell>
          <cell r="I143">
            <v>0.28211673859106995</v>
          </cell>
          <cell r="J143">
            <v>0.30959808883011131</v>
          </cell>
          <cell r="K143">
            <v>0.22570565505135484</v>
          </cell>
          <cell r="L143">
            <v>0.2488160721966374</v>
          </cell>
          <cell r="M143">
            <v>0.28501503374999998</v>
          </cell>
          <cell r="N143">
            <v>0.28500000000000003</v>
          </cell>
          <cell r="O143">
            <v>0.28500000000000003</v>
          </cell>
          <cell r="P143">
            <v>0.28500000000000003</v>
          </cell>
          <cell r="Q143">
            <v>0.28500000000000003</v>
          </cell>
          <cell r="R143">
            <v>0.28500000000000003</v>
          </cell>
          <cell r="S143">
            <v>0.28500000000000003</v>
          </cell>
          <cell r="T143">
            <v>0.28500000000000003</v>
          </cell>
          <cell r="U143">
            <v>0.28500000000000003</v>
          </cell>
          <cell r="V143">
            <v>0.28500000000000003</v>
          </cell>
          <cell r="W143">
            <v>0.28500000000000003</v>
          </cell>
          <cell r="X143">
            <v>0.39250000000000002</v>
          </cell>
          <cell r="Y143">
            <v>0.39250000000000002</v>
          </cell>
          <cell r="Z143">
            <v>0.39250000000000002</v>
          </cell>
          <cell r="AA143">
            <v>0.39250000000000002</v>
          </cell>
          <cell r="AB143">
            <v>0.39250000000000002</v>
          </cell>
          <cell r="AC143">
            <v>0.39250000000000002</v>
          </cell>
          <cell r="AD143">
            <v>0.39250000000000002</v>
          </cell>
          <cell r="AE143">
            <v>0.39250000000000002</v>
          </cell>
          <cell r="AF143">
            <v>0.39250000000000002</v>
          </cell>
          <cell r="AG143">
            <v>0.39250000000000002</v>
          </cell>
          <cell r="AH143">
            <v>0.39249999999999963</v>
          </cell>
          <cell r="AI143">
            <v>0.39250000000000002</v>
          </cell>
          <cell r="AJ143">
            <v>0.41962043678322075</v>
          </cell>
          <cell r="AK143">
            <v>0.5</v>
          </cell>
          <cell r="AL143">
            <v>0.5</v>
          </cell>
          <cell r="AM143">
            <v>0.5</v>
          </cell>
          <cell r="AN143">
            <v>0.5</v>
          </cell>
          <cell r="AO143">
            <v>0.5</v>
          </cell>
          <cell r="AP143">
            <v>0.5</v>
          </cell>
          <cell r="AQ143">
            <v>0</v>
          </cell>
          <cell r="AR143">
            <v>0</v>
          </cell>
          <cell r="AS143">
            <v>0</v>
          </cell>
          <cell r="AT143">
            <v>0</v>
          </cell>
        </row>
        <row r="144">
          <cell r="E144" t="str">
            <v>Sinter feed blend</v>
          </cell>
          <cell r="F144" t="str">
            <v>[%]</v>
          </cell>
          <cell r="I144">
            <v>0</v>
          </cell>
          <cell r="J144">
            <v>0</v>
          </cell>
          <cell r="K144">
            <v>0</v>
          </cell>
          <cell r="L144">
            <v>0</v>
          </cell>
          <cell r="M144">
            <v>0.16800886199999993</v>
          </cell>
          <cell r="N144">
            <v>0.10318000000000004</v>
          </cell>
          <cell r="O144">
            <v>0.10318000000000004</v>
          </cell>
          <cell r="P144">
            <v>0.10318000000000004</v>
          </cell>
          <cell r="Q144">
            <v>0.10318000000000004</v>
          </cell>
          <cell r="R144">
            <v>0.10318000000000004</v>
          </cell>
          <cell r="S144">
            <v>0.10318000000000004</v>
          </cell>
          <cell r="T144">
            <v>0.10318000000000004</v>
          </cell>
          <cell r="U144">
            <v>0.10318000000000004</v>
          </cell>
          <cell r="V144">
            <v>0.10318000000000004</v>
          </cell>
          <cell r="W144">
            <v>0.10318000000000004</v>
          </cell>
          <cell r="X144">
            <v>5.1590000000000011E-2</v>
          </cell>
          <cell r="Y144">
            <v>5.1557772291497279E-2</v>
          </cell>
          <cell r="Z144">
            <v>5.1557772291497279E-2</v>
          </cell>
          <cell r="AA144">
            <v>5.1557772291497279E-2</v>
          </cell>
          <cell r="AB144">
            <v>5.1557772291497279E-2</v>
          </cell>
          <cell r="AC144">
            <v>5.1557772291497279E-2</v>
          </cell>
          <cell r="AD144">
            <v>5.1557772291497279E-2</v>
          </cell>
          <cell r="AE144">
            <v>5.1557772291497279E-2</v>
          </cell>
          <cell r="AF144">
            <v>5.1557772291497279E-2</v>
          </cell>
          <cell r="AG144">
            <v>5.1557772291497279E-2</v>
          </cell>
          <cell r="AH144">
            <v>5.1557772291497224E-2</v>
          </cell>
          <cell r="AI144">
            <v>5.1557772291497279E-2</v>
          </cell>
          <cell r="AJ144">
            <v>3.1016377277815126E-2</v>
          </cell>
          <cell r="AK144">
            <v>0</v>
          </cell>
          <cell r="AL144">
            <v>0</v>
          </cell>
          <cell r="AM144">
            <v>0</v>
          </cell>
          <cell r="AN144">
            <v>0</v>
          </cell>
          <cell r="AO144">
            <v>0</v>
          </cell>
          <cell r="AP144">
            <v>0</v>
          </cell>
          <cell r="AQ144">
            <v>0</v>
          </cell>
          <cell r="AR144">
            <v>0</v>
          </cell>
          <cell r="AS144">
            <v>0</v>
          </cell>
          <cell r="AT144">
            <v>0</v>
          </cell>
        </row>
        <row r="146">
          <cell r="E146" t="str">
            <v>Feeding</v>
          </cell>
          <cell r="F146" t="str">
            <v>[t'000]</v>
          </cell>
          <cell r="I146">
            <v>5726.0445596666686</v>
          </cell>
          <cell r="J146">
            <v>6125.9672649999984</v>
          </cell>
          <cell r="K146">
            <v>6034.4673681074628</v>
          </cell>
          <cell r="L146">
            <v>5630.2103039916201</v>
          </cell>
          <cell r="M146">
            <v>6000</v>
          </cell>
          <cell r="N146">
            <v>7205.509149999998</v>
          </cell>
          <cell r="O146">
            <v>7205.509149999998</v>
          </cell>
          <cell r="P146">
            <v>14411.018299999996</v>
          </cell>
          <cell r="Q146">
            <v>14411.018299999996</v>
          </cell>
          <cell r="R146">
            <v>14411.018299999996</v>
          </cell>
          <cell r="S146">
            <v>14411.018299999996</v>
          </cell>
          <cell r="T146">
            <v>14411.018299999996</v>
          </cell>
          <cell r="U146">
            <v>14411.018299999996</v>
          </cell>
          <cell r="V146">
            <v>14411.018299999996</v>
          </cell>
          <cell r="W146">
            <v>14411.018299999996</v>
          </cell>
          <cell r="X146">
            <v>14411.018299999996</v>
          </cell>
          <cell r="Y146">
            <v>14411.018299999996</v>
          </cell>
          <cell r="Z146">
            <v>14411.018299999996</v>
          </cell>
          <cell r="AA146">
            <v>14411.018299999996</v>
          </cell>
          <cell r="AB146">
            <v>14411.018299999996</v>
          </cell>
          <cell r="AC146">
            <v>14411.018299999996</v>
          </cell>
          <cell r="AD146">
            <v>14411.018299999996</v>
          </cell>
          <cell r="AE146">
            <v>14411.018299999996</v>
          </cell>
          <cell r="AF146">
            <v>14411.018299999996</v>
          </cell>
          <cell r="AG146">
            <v>14411.018299999996</v>
          </cell>
          <cell r="AH146">
            <v>14411.018300000011</v>
          </cell>
          <cell r="AI146">
            <v>14411.018299999996</v>
          </cell>
          <cell r="AJ146">
            <v>14411.018299999996</v>
          </cell>
          <cell r="AK146">
            <v>14411.018299999996</v>
          </cell>
          <cell r="AL146">
            <v>14411.018300000003</v>
          </cell>
          <cell r="AM146">
            <v>14411.018300000003</v>
          </cell>
          <cell r="AN146">
            <v>14411.018300000003</v>
          </cell>
          <cell r="AO146">
            <v>14411.018300000002</v>
          </cell>
          <cell r="AP146">
            <v>10602.505900000064</v>
          </cell>
          <cell r="AQ146">
            <v>0</v>
          </cell>
          <cell r="AR146">
            <v>0</v>
          </cell>
          <cell r="AS146">
            <v>0</v>
          </cell>
          <cell r="AT146">
            <v>0</v>
          </cell>
        </row>
        <row r="148">
          <cell r="E148" t="str">
            <v>Production plan</v>
          </cell>
          <cell r="F148" t="str">
            <v>[t'000]</v>
          </cell>
          <cell r="I148">
            <v>4126.03632887</v>
          </cell>
          <cell r="J148">
            <v>4348.6762707159996</v>
          </cell>
          <cell r="K148">
            <v>4226.8980469637754</v>
          </cell>
          <cell r="L148">
            <v>4002.306052920927</v>
          </cell>
          <cell r="M148">
            <v>4200.2215499999993</v>
          </cell>
          <cell r="N148">
            <v>5043.8564049999995</v>
          </cell>
          <cell r="O148">
            <v>5043.8564049999995</v>
          </cell>
          <cell r="P148">
            <v>10087.712809999999</v>
          </cell>
          <cell r="Q148">
            <v>10087.712809999999</v>
          </cell>
          <cell r="R148">
            <v>10088.161894999999</v>
          </cell>
          <cell r="S148">
            <v>10088.161894999999</v>
          </cell>
          <cell r="T148">
            <v>10088.161894999999</v>
          </cell>
          <cell r="U148">
            <v>10088.161894999999</v>
          </cell>
          <cell r="V148">
            <v>10088.161894999999</v>
          </cell>
          <cell r="W148">
            <v>10088.161894999999</v>
          </cell>
          <cell r="X148">
            <v>8646.8355224999996</v>
          </cell>
          <cell r="Y148">
            <v>8646.3710884029988</v>
          </cell>
          <cell r="Z148">
            <v>8646.3710884029988</v>
          </cell>
          <cell r="AA148">
            <v>8646.3710884029988</v>
          </cell>
          <cell r="AB148">
            <v>8646.3710884029988</v>
          </cell>
          <cell r="AC148">
            <v>8646.3710884029988</v>
          </cell>
          <cell r="AD148">
            <v>8646.3710884029988</v>
          </cell>
          <cell r="AE148">
            <v>8646.3710884029988</v>
          </cell>
          <cell r="AF148">
            <v>8646.3710884029988</v>
          </cell>
          <cell r="AG148">
            <v>8646.3710884029988</v>
          </cell>
          <cell r="AH148">
            <v>8646.3710884029988</v>
          </cell>
          <cell r="AI148">
            <v>8646.3710884029988</v>
          </cell>
          <cell r="AJ148">
            <v>7845.9245608746605</v>
          </cell>
          <cell r="AK148">
            <v>7205.509149999998</v>
          </cell>
          <cell r="AL148">
            <v>7205.5091500000017</v>
          </cell>
          <cell r="AM148">
            <v>7205.5091500000017</v>
          </cell>
          <cell r="AN148">
            <v>7205.5091500000017</v>
          </cell>
          <cell r="AO148">
            <v>7205.5091500000008</v>
          </cell>
          <cell r="AP148">
            <v>5301.2529500000319</v>
          </cell>
          <cell r="AQ148">
            <v>0</v>
          </cell>
          <cell r="AR148">
            <v>0</v>
          </cell>
          <cell r="AS148">
            <v>0</v>
          </cell>
          <cell r="AT148">
            <v>0</v>
          </cell>
        </row>
        <row r="149">
          <cell r="E149" t="str">
            <v>NPO</v>
          </cell>
          <cell r="F149" t="str">
            <v>[t'000]</v>
          </cell>
          <cell r="I149">
            <v>663.15262678000011</v>
          </cell>
          <cell r="J149">
            <v>439.54629768799998</v>
          </cell>
          <cell r="K149">
            <v>320.73606331570858</v>
          </cell>
          <cell r="L149">
            <v>298.46944371111238</v>
          </cell>
          <cell r="M149">
            <v>300.01582500000001</v>
          </cell>
          <cell r="N149">
            <v>360.27545750000002</v>
          </cell>
          <cell r="O149">
            <v>360.27545750000002</v>
          </cell>
          <cell r="P149">
            <v>720.55091500000003</v>
          </cell>
          <cell r="Q149">
            <v>720.55091500000003</v>
          </cell>
          <cell r="R149">
            <v>721</v>
          </cell>
          <cell r="S149">
            <v>721</v>
          </cell>
          <cell r="T149">
            <v>721</v>
          </cell>
          <cell r="U149">
            <v>721</v>
          </cell>
          <cell r="V149">
            <v>721</v>
          </cell>
          <cell r="W149">
            <v>721</v>
          </cell>
          <cell r="X149">
            <v>360.5</v>
          </cell>
          <cell r="Y149">
            <v>360.5</v>
          </cell>
          <cell r="Z149">
            <v>360.5</v>
          </cell>
          <cell r="AA149">
            <v>360.5</v>
          </cell>
          <cell r="AB149">
            <v>360.5</v>
          </cell>
          <cell r="AC149">
            <v>360.5</v>
          </cell>
          <cell r="AD149">
            <v>360.5</v>
          </cell>
          <cell r="AE149">
            <v>360.5</v>
          </cell>
          <cell r="AF149">
            <v>360.5</v>
          </cell>
          <cell r="AG149">
            <v>360.5</v>
          </cell>
          <cell r="AH149">
            <v>360.5</v>
          </cell>
          <cell r="AI149">
            <v>360.5</v>
          </cell>
          <cell r="AJ149">
            <v>216.87135637736523</v>
          </cell>
          <cell r="AK149">
            <v>0</v>
          </cell>
          <cell r="AL149">
            <v>0</v>
          </cell>
          <cell r="AM149">
            <v>0</v>
          </cell>
          <cell r="AN149">
            <v>0</v>
          </cell>
          <cell r="AO149">
            <v>0</v>
          </cell>
          <cell r="AP149">
            <v>0</v>
          </cell>
          <cell r="AQ149">
            <v>0</v>
          </cell>
          <cell r="AR149">
            <v>0</v>
          </cell>
          <cell r="AS149">
            <v>0</v>
          </cell>
          <cell r="AT149">
            <v>0</v>
          </cell>
        </row>
        <row r="150">
          <cell r="E150" t="str">
            <v>Hematitinha</v>
          </cell>
          <cell r="F150" t="str">
            <v>[t'000]</v>
          </cell>
          <cell r="I150">
            <v>406.81307236999999</v>
          </cell>
          <cell r="J150">
            <v>534.55265104799992</v>
          </cell>
          <cell r="K150">
            <v>399.53887386800739</v>
          </cell>
          <cell r="L150">
            <v>381.21031143273859</v>
          </cell>
          <cell r="M150">
            <v>57.603038400000088</v>
          </cell>
          <cell r="N150">
            <v>209.2912187709</v>
          </cell>
          <cell r="O150">
            <v>209.2912187709</v>
          </cell>
          <cell r="P150">
            <v>418.5824375418</v>
          </cell>
          <cell r="Q150">
            <v>418.5824375418</v>
          </cell>
          <cell r="R150">
            <v>418.5824375418</v>
          </cell>
          <cell r="S150">
            <v>418.5824375418</v>
          </cell>
          <cell r="T150">
            <v>418.5824375418</v>
          </cell>
          <cell r="U150">
            <v>418.5824375418</v>
          </cell>
          <cell r="V150">
            <v>418.5824375418</v>
          </cell>
          <cell r="W150">
            <v>418.5824375418</v>
          </cell>
          <cell r="X150">
            <v>209.2912187709</v>
          </cell>
          <cell r="Y150">
            <v>209.2912187709</v>
          </cell>
          <cell r="Z150">
            <v>209.2912187709</v>
          </cell>
          <cell r="AA150">
            <v>209.2912187709</v>
          </cell>
          <cell r="AB150">
            <v>209.2912187709</v>
          </cell>
          <cell r="AC150">
            <v>209.2912187709</v>
          </cell>
          <cell r="AD150">
            <v>209.2912187709</v>
          </cell>
          <cell r="AE150">
            <v>209.2912187709</v>
          </cell>
          <cell r="AF150">
            <v>209.2912187709</v>
          </cell>
          <cell r="AG150">
            <v>209.2912187709</v>
          </cell>
          <cell r="AH150">
            <v>209.2912187709</v>
          </cell>
          <cell r="AI150">
            <v>209.2912187709</v>
          </cell>
          <cell r="AJ150">
            <v>125.9064368730013</v>
          </cell>
          <cell r="AK150">
            <v>0</v>
          </cell>
          <cell r="AL150">
            <v>0</v>
          </cell>
          <cell r="AM150">
            <v>0</v>
          </cell>
          <cell r="AN150">
            <v>0</v>
          </cell>
          <cell r="AO150">
            <v>0</v>
          </cell>
          <cell r="AP150">
            <v>0</v>
          </cell>
          <cell r="AQ150">
            <v>0</v>
          </cell>
          <cell r="AR150">
            <v>0</v>
          </cell>
          <cell r="AS150">
            <v>0</v>
          </cell>
          <cell r="AT150">
            <v>0</v>
          </cell>
        </row>
        <row r="151">
          <cell r="E151" t="str">
            <v>Sinter feed</v>
          </cell>
          <cell r="F151" t="str">
            <v>[t'000]</v>
          </cell>
          <cell r="I151">
            <v>1494.4822033099997</v>
          </cell>
          <cell r="J151">
            <v>1495.314648091</v>
          </cell>
          <cell r="K151">
            <v>2141.225969397191</v>
          </cell>
          <cell r="L151">
            <v>1945.2432710217388</v>
          </cell>
          <cell r="M151">
            <v>1124.4593121</v>
          </cell>
          <cell r="N151">
            <v>1677.2551868821001</v>
          </cell>
          <cell r="O151">
            <v>1677.2551868821001</v>
          </cell>
          <cell r="P151">
            <v>3354.5103737642003</v>
          </cell>
          <cell r="Q151">
            <v>3354.5103737642003</v>
          </cell>
          <cell r="R151">
            <v>3354.5103737642003</v>
          </cell>
          <cell r="S151">
            <v>3354.5103737642003</v>
          </cell>
          <cell r="T151">
            <v>3354.5103737642003</v>
          </cell>
          <cell r="U151">
            <v>3354.5103737642003</v>
          </cell>
          <cell r="V151">
            <v>3354.5103737642003</v>
          </cell>
          <cell r="W151">
            <v>3354.5103737642003</v>
          </cell>
          <cell r="X151">
            <v>1677.2551868821001</v>
          </cell>
          <cell r="Y151">
            <v>1677.2551868821001</v>
          </cell>
          <cell r="Z151">
            <v>1677.2551868821001</v>
          </cell>
          <cell r="AA151">
            <v>1677.2551868821001</v>
          </cell>
          <cell r="AB151">
            <v>1677.2551868821001</v>
          </cell>
          <cell r="AC151">
            <v>1677.2551868821001</v>
          </cell>
          <cell r="AD151">
            <v>1677.2551868821001</v>
          </cell>
          <cell r="AE151">
            <v>1677.2551868821001</v>
          </cell>
          <cell r="AF151">
            <v>1677.2551868821001</v>
          </cell>
          <cell r="AG151">
            <v>1677.2551868821001</v>
          </cell>
          <cell r="AH151">
            <v>1677.2551868821001</v>
          </cell>
          <cell r="AI151">
            <v>1677.2551868821001</v>
          </cell>
          <cell r="AJ151">
            <v>1009.0113935370105</v>
          </cell>
          <cell r="AK151">
            <v>0</v>
          </cell>
          <cell r="AL151">
            <v>0</v>
          </cell>
          <cell r="AM151">
            <v>0</v>
          </cell>
          <cell r="AN151">
            <v>0</v>
          </cell>
          <cell r="AO151">
            <v>0</v>
          </cell>
          <cell r="AP151">
            <v>0</v>
          </cell>
          <cell r="AQ151">
            <v>0</v>
          </cell>
          <cell r="AR151">
            <v>0</v>
          </cell>
          <cell r="AS151">
            <v>0</v>
          </cell>
          <cell r="AT151">
            <v>0</v>
          </cell>
        </row>
        <row r="152">
          <cell r="E152" t="str">
            <v>Sinter feed silicoso</v>
          </cell>
          <cell r="F152" t="str">
            <v>[t'000]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row>
        <row r="153">
          <cell r="E153" t="str">
            <v>Pellet feed</v>
          </cell>
          <cell r="F153" t="str">
            <v>[t'000]</v>
          </cell>
          <cell r="I153">
            <v>1561.5884264099998</v>
          </cell>
          <cell r="J153">
            <v>1879.2626738889996</v>
          </cell>
          <cell r="K153">
            <v>1365.3971403828682</v>
          </cell>
          <cell r="L153">
            <v>1377.3830267553371</v>
          </cell>
          <cell r="M153">
            <v>1710.0902024999998</v>
          </cell>
          <cell r="N153">
            <v>2053.5701077499998</v>
          </cell>
          <cell r="O153">
            <v>2053.5701077499998</v>
          </cell>
          <cell r="P153">
            <v>4107.1402154999996</v>
          </cell>
          <cell r="Q153">
            <v>4107.1402154999996</v>
          </cell>
          <cell r="R153">
            <v>4107.1402154999996</v>
          </cell>
          <cell r="S153">
            <v>4107.1402154999996</v>
          </cell>
          <cell r="T153">
            <v>4107.1402154999996</v>
          </cell>
          <cell r="U153">
            <v>4107.1402154999996</v>
          </cell>
          <cell r="V153">
            <v>4107.1402154999996</v>
          </cell>
          <cell r="W153">
            <v>4107.1402154999996</v>
          </cell>
          <cell r="X153">
            <v>5656.3246827499988</v>
          </cell>
          <cell r="Y153">
            <v>5656.3246827499988</v>
          </cell>
          <cell r="Z153">
            <v>5656.3246827499988</v>
          </cell>
          <cell r="AA153">
            <v>5656.3246827499988</v>
          </cell>
          <cell r="AB153">
            <v>5656.3246827499988</v>
          </cell>
          <cell r="AC153">
            <v>5656.3246827499988</v>
          </cell>
          <cell r="AD153">
            <v>5656.3246827499988</v>
          </cell>
          <cell r="AE153">
            <v>5656.3246827499988</v>
          </cell>
          <cell r="AF153">
            <v>5656.3246827499988</v>
          </cell>
          <cell r="AG153">
            <v>5656.3246827499988</v>
          </cell>
          <cell r="AH153">
            <v>5656.3246827499988</v>
          </cell>
          <cell r="AI153">
            <v>5656.3246827499988</v>
          </cell>
          <cell r="AJ153">
            <v>6047.157793536986</v>
          </cell>
          <cell r="AK153">
            <v>7205.509149999998</v>
          </cell>
          <cell r="AL153">
            <v>7205.5091500000017</v>
          </cell>
          <cell r="AM153">
            <v>7205.5091500000017</v>
          </cell>
          <cell r="AN153">
            <v>7205.5091500000017</v>
          </cell>
          <cell r="AO153">
            <v>7205.5091500000008</v>
          </cell>
          <cell r="AP153">
            <v>5301.2529500000319</v>
          </cell>
          <cell r="AQ153">
            <v>0</v>
          </cell>
          <cell r="AR153">
            <v>0</v>
          </cell>
          <cell r="AS153">
            <v>0</v>
          </cell>
          <cell r="AT153">
            <v>0</v>
          </cell>
        </row>
        <row r="154">
          <cell r="E154" t="str">
            <v>Sinter feed blend</v>
          </cell>
          <cell r="F154" t="str">
            <v>[t'000]</v>
          </cell>
          <cell r="I154">
            <v>0</v>
          </cell>
          <cell r="J154">
            <v>0</v>
          </cell>
          <cell r="K154">
            <v>0</v>
          </cell>
          <cell r="L154">
            <v>0</v>
          </cell>
          <cell r="M154">
            <v>1008.0531719999996</v>
          </cell>
          <cell r="N154">
            <v>743.46443409700009</v>
          </cell>
          <cell r="O154">
            <v>743.46443409700009</v>
          </cell>
          <cell r="P154">
            <v>1486.9288681940002</v>
          </cell>
          <cell r="Q154">
            <v>1486.9288681940002</v>
          </cell>
          <cell r="R154">
            <v>1486.9288681940002</v>
          </cell>
          <cell r="S154">
            <v>1486.9288681940002</v>
          </cell>
          <cell r="T154">
            <v>1486.9288681940002</v>
          </cell>
          <cell r="U154">
            <v>1486.9288681940002</v>
          </cell>
          <cell r="V154">
            <v>1486.9288681940002</v>
          </cell>
          <cell r="W154">
            <v>1486.9288681940002</v>
          </cell>
          <cell r="X154">
            <v>743.46443409699998</v>
          </cell>
          <cell r="Y154">
            <v>743</v>
          </cell>
          <cell r="Z154">
            <v>743</v>
          </cell>
          <cell r="AA154">
            <v>743</v>
          </cell>
          <cell r="AB154">
            <v>743</v>
          </cell>
          <cell r="AC154">
            <v>743</v>
          </cell>
          <cell r="AD154">
            <v>743</v>
          </cell>
          <cell r="AE154">
            <v>743</v>
          </cell>
          <cell r="AF154">
            <v>743</v>
          </cell>
          <cell r="AG154">
            <v>743</v>
          </cell>
          <cell r="AH154">
            <v>743</v>
          </cell>
          <cell r="AI154">
            <v>743</v>
          </cell>
          <cell r="AJ154">
            <v>446.97758055029783</v>
          </cell>
          <cell r="AK154">
            <v>0</v>
          </cell>
          <cell r="AL154">
            <v>0</v>
          </cell>
          <cell r="AM154">
            <v>0</v>
          </cell>
          <cell r="AN154">
            <v>0</v>
          </cell>
          <cell r="AO154">
            <v>0</v>
          </cell>
          <cell r="AP154">
            <v>0</v>
          </cell>
          <cell r="AQ154">
            <v>0</v>
          </cell>
          <cell r="AR154">
            <v>0</v>
          </cell>
          <cell r="AS154">
            <v>0</v>
          </cell>
          <cell r="AT154">
            <v>0</v>
          </cell>
        </row>
        <row r="156">
          <cell r="E156" t="str">
            <v>Strip ratio</v>
          </cell>
          <cell r="I156">
            <v>0.98818576527677204</v>
          </cell>
          <cell r="J156">
            <v>0.78084321926863076</v>
          </cell>
          <cell r="K156">
            <v>0.87103405436318504</v>
          </cell>
          <cell r="L156">
            <v>0.11044677448917242</v>
          </cell>
          <cell r="M156">
            <v>0.83333333333333337</v>
          </cell>
          <cell r="N156">
            <v>1.0739005168010927</v>
          </cell>
          <cell r="O156">
            <v>1.0739005168010927</v>
          </cell>
          <cell r="P156">
            <v>1.0739005168010927</v>
          </cell>
          <cell r="Q156">
            <v>1.0739005168010927</v>
          </cell>
          <cell r="R156">
            <v>1.0739005168010927</v>
          </cell>
          <cell r="S156">
            <v>1.0739005168010927</v>
          </cell>
          <cell r="T156">
            <v>1.0739005168010927</v>
          </cell>
          <cell r="U156">
            <v>1.0739005168010927</v>
          </cell>
          <cell r="V156">
            <v>1.0739005168010927</v>
          </cell>
          <cell r="W156">
            <v>1.0739005168010927</v>
          </cell>
          <cell r="X156">
            <v>0.13878269795826992</v>
          </cell>
          <cell r="Y156">
            <v>0.13878269795826992</v>
          </cell>
          <cell r="Z156">
            <v>0.13878269795826992</v>
          </cell>
          <cell r="AA156">
            <v>0.13878269795826992</v>
          </cell>
          <cell r="AB156">
            <v>0.13878269795826992</v>
          </cell>
          <cell r="AC156">
            <v>0.13878269795826992</v>
          </cell>
          <cell r="AD156">
            <v>0.13878269795826992</v>
          </cell>
          <cell r="AE156">
            <v>0.13878269795826992</v>
          </cell>
          <cell r="AF156">
            <v>0.13878269795826992</v>
          </cell>
          <cell r="AG156">
            <v>0.13878269795826992</v>
          </cell>
          <cell r="AH156">
            <v>0.13878269795826978</v>
          </cell>
          <cell r="AI156">
            <v>0.13878269795826992</v>
          </cell>
          <cell r="AJ156">
            <v>0.13878269795826992</v>
          </cell>
          <cell r="AK156">
            <v>0.13878269795826992</v>
          </cell>
          <cell r="AL156">
            <v>0.13878269795826986</v>
          </cell>
          <cell r="AM156">
            <v>0.13878269795826986</v>
          </cell>
          <cell r="AN156">
            <v>0.13878269795826986</v>
          </cell>
          <cell r="AO156">
            <v>0.13878269795826986</v>
          </cell>
          <cell r="AP156">
            <v>0.18863465098378185</v>
          </cell>
          <cell r="AQ156">
            <v>0</v>
          </cell>
          <cell r="AR156">
            <v>0</v>
          </cell>
          <cell r="AS156">
            <v>0</v>
          </cell>
          <cell r="AT156">
            <v>0</v>
          </cell>
        </row>
        <row r="158">
          <cell r="E158" t="str">
            <v>Sales Volume</v>
          </cell>
          <cell r="I158">
            <v>2013</v>
          </cell>
          <cell r="J158">
            <v>2014</v>
          </cell>
          <cell r="K158">
            <v>2015</v>
          </cell>
          <cell r="L158">
            <v>2016</v>
          </cell>
          <cell r="M158">
            <v>2017</v>
          </cell>
          <cell r="N158">
            <v>2018</v>
          </cell>
          <cell r="O158">
            <v>2019</v>
          </cell>
          <cell r="P158">
            <v>2020</v>
          </cell>
          <cell r="Q158">
            <v>2021</v>
          </cell>
          <cell r="R158">
            <v>2022</v>
          </cell>
          <cell r="S158">
            <v>2023</v>
          </cell>
          <cell r="T158">
            <v>2024</v>
          </cell>
          <cell r="U158">
            <v>2025</v>
          </cell>
          <cell r="V158">
            <v>2026</v>
          </cell>
          <cell r="W158">
            <v>2027</v>
          </cell>
          <cell r="X158">
            <v>2028</v>
          </cell>
          <cell r="Y158">
            <v>2029</v>
          </cell>
          <cell r="Z158">
            <v>2030</v>
          </cell>
          <cell r="AA158">
            <v>2031</v>
          </cell>
          <cell r="AB158">
            <v>2032</v>
          </cell>
          <cell r="AC158">
            <v>2033</v>
          </cell>
          <cell r="AD158">
            <v>2034</v>
          </cell>
          <cell r="AE158">
            <v>2035</v>
          </cell>
          <cell r="AF158">
            <v>2036</v>
          </cell>
          <cell r="AG158">
            <v>2037</v>
          </cell>
          <cell r="AH158">
            <v>2038</v>
          </cell>
          <cell r="AI158">
            <v>2039</v>
          </cell>
          <cell r="AJ158">
            <v>2040</v>
          </cell>
          <cell r="AK158">
            <v>2041</v>
          </cell>
          <cell r="AL158">
            <v>2042</v>
          </cell>
          <cell r="AM158">
            <v>2043</v>
          </cell>
          <cell r="AN158">
            <v>2044</v>
          </cell>
          <cell r="AO158">
            <v>2045</v>
          </cell>
          <cell r="AP158">
            <v>2046</v>
          </cell>
          <cell r="AQ158">
            <v>2047</v>
          </cell>
          <cell r="AR158">
            <v>2048</v>
          </cell>
          <cell r="AS158">
            <v>2049</v>
          </cell>
          <cell r="AT158">
            <v>2050</v>
          </cell>
        </row>
        <row r="160">
          <cell r="E160" t="str">
            <v>Sales Volume</v>
          </cell>
          <cell r="I160">
            <v>4013.9394950000001</v>
          </cell>
          <cell r="J160">
            <v>4179.5396179999998</v>
          </cell>
          <cell r="K160">
            <v>4027.8010260000005</v>
          </cell>
          <cell r="L160">
            <v>4127.2783299999983</v>
          </cell>
          <cell r="M160">
            <v>4200.3419213315965</v>
          </cell>
          <cell r="N160">
            <v>5043.8564049999995</v>
          </cell>
          <cell r="O160">
            <v>5043.8564049999995</v>
          </cell>
          <cell r="P160">
            <v>10087.712809999999</v>
          </cell>
          <cell r="Q160">
            <v>10087.712809999999</v>
          </cell>
          <cell r="R160">
            <v>10088.161894999999</v>
          </cell>
          <cell r="S160">
            <v>10088.161894999999</v>
          </cell>
          <cell r="T160">
            <v>10088.161894999999</v>
          </cell>
          <cell r="U160">
            <v>10088.161894999999</v>
          </cell>
          <cell r="V160">
            <v>10088.161894999999</v>
          </cell>
          <cell r="W160">
            <v>10088.161894999999</v>
          </cell>
          <cell r="X160">
            <v>8646.8355224999978</v>
          </cell>
          <cell r="Y160">
            <v>8646.3710884029988</v>
          </cell>
          <cell r="Z160">
            <v>8646.3710884029988</v>
          </cell>
          <cell r="AA160">
            <v>8646.3710884029988</v>
          </cell>
          <cell r="AB160">
            <v>8646.3710884029988</v>
          </cell>
          <cell r="AC160">
            <v>8646.3710884029988</v>
          </cell>
          <cell r="AD160">
            <v>8646.3710884029988</v>
          </cell>
          <cell r="AE160">
            <v>8646.3710884029988</v>
          </cell>
          <cell r="AF160">
            <v>8646.3710884029988</v>
          </cell>
          <cell r="AG160">
            <v>8646.3710884029988</v>
          </cell>
          <cell r="AH160">
            <v>8646.3710884029988</v>
          </cell>
          <cell r="AI160">
            <v>8646.3710884029988</v>
          </cell>
          <cell r="AJ160">
            <v>7845.9245608746605</v>
          </cell>
          <cell r="AK160">
            <v>7205.509149999998</v>
          </cell>
          <cell r="AL160">
            <v>7205.5091500000017</v>
          </cell>
          <cell r="AM160">
            <v>7205.5091500000017</v>
          </cell>
          <cell r="AN160">
            <v>7205.5091500000017</v>
          </cell>
          <cell r="AO160">
            <v>7205.5091500000008</v>
          </cell>
          <cell r="AP160">
            <v>5301.2529500000319</v>
          </cell>
          <cell r="AQ160">
            <v>0</v>
          </cell>
          <cell r="AR160">
            <v>0</v>
          </cell>
          <cell r="AS160">
            <v>0</v>
          </cell>
          <cell r="AT160">
            <v>0</v>
          </cell>
        </row>
        <row r="161">
          <cell r="E161" t="str">
            <v>Domestic</v>
          </cell>
          <cell r="F161" t="str">
            <v>[t'000]</v>
          </cell>
          <cell r="I161">
            <v>4013.9394950000001</v>
          </cell>
          <cell r="J161">
            <v>4179.5396179999998</v>
          </cell>
          <cell r="K161">
            <v>4027.8010260000005</v>
          </cell>
          <cell r="L161">
            <v>4127.2783299999983</v>
          </cell>
          <cell r="M161">
            <v>4200.3419213315965</v>
          </cell>
          <cell r="N161">
            <v>5043.8564049999995</v>
          </cell>
          <cell r="O161">
            <v>3664.6202084079996</v>
          </cell>
          <cell r="P161">
            <v>4977.6513187758992</v>
          </cell>
          <cell r="Q161">
            <v>4977.6513187758992</v>
          </cell>
          <cell r="R161">
            <v>4978.1004037758994</v>
          </cell>
          <cell r="S161">
            <v>4978.1004037758994</v>
          </cell>
          <cell r="T161">
            <v>4978.1004037758994</v>
          </cell>
          <cell r="U161">
            <v>4978.1004037758994</v>
          </cell>
          <cell r="V161">
            <v>4978.1004037758994</v>
          </cell>
          <cell r="W161">
            <v>4978.1004037758994</v>
          </cell>
          <cell r="X161">
            <v>3664.8447509079997</v>
          </cell>
          <cell r="Y161">
            <v>3664.3803168109998</v>
          </cell>
          <cell r="Z161">
            <v>3664.3803168109998</v>
          </cell>
          <cell r="AA161">
            <v>3664.3803168109998</v>
          </cell>
          <cell r="AB161">
            <v>3664.3803168109998</v>
          </cell>
          <cell r="AC161">
            <v>3664.3803168109998</v>
          </cell>
          <cell r="AD161">
            <v>3664.3803168109998</v>
          </cell>
          <cell r="AE161">
            <v>3664.3803168109998</v>
          </cell>
          <cell r="AF161">
            <v>3664.3803168109998</v>
          </cell>
          <cell r="AG161">
            <v>3664.3803168109998</v>
          </cell>
          <cell r="AH161">
            <v>3664.3803168109998</v>
          </cell>
          <cell r="AI161">
            <v>3664.3803168109998</v>
          </cell>
          <cell r="AJ161">
            <v>789.7553738006643</v>
          </cell>
          <cell r="AK161">
            <v>0</v>
          </cell>
          <cell r="AL161">
            <v>0</v>
          </cell>
          <cell r="AM161">
            <v>0</v>
          </cell>
          <cell r="AN161">
            <v>0</v>
          </cell>
          <cell r="AO161">
            <v>0</v>
          </cell>
          <cell r="AP161">
            <v>0</v>
          </cell>
          <cell r="AQ161">
            <v>0</v>
          </cell>
          <cell r="AR161">
            <v>0</v>
          </cell>
          <cell r="AS161">
            <v>0</v>
          </cell>
          <cell r="AT161">
            <v>0</v>
          </cell>
        </row>
        <row r="162">
          <cell r="E162" t="str">
            <v>Export</v>
          </cell>
          <cell r="F162" t="str">
            <v>[t'000]</v>
          </cell>
          <cell r="I162">
            <v>0</v>
          </cell>
          <cell r="J162">
            <v>0</v>
          </cell>
          <cell r="K162">
            <v>0</v>
          </cell>
          <cell r="L162">
            <v>0</v>
          </cell>
          <cell r="M162">
            <v>0</v>
          </cell>
          <cell r="N162">
            <v>0</v>
          </cell>
          <cell r="O162">
            <v>1379.2361965920002</v>
          </cell>
          <cell r="P162">
            <v>5110.0614912240999</v>
          </cell>
          <cell r="Q162">
            <v>5110.0614912240999</v>
          </cell>
          <cell r="R162">
            <v>5110.0614912240999</v>
          </cell>
          <cell r="S162">
            <v>5110.0614912240999</v>
          </cell>
          <cell r="T162">
            <v>5110.0614912240999</v>
          </cell>
          <cell r="U162">
            <v>5110.0614912240999</v>
          </cell>
          <cell r="V162">
            <v>5110.0614912240999</v>
          </cell>
          <cell r="W162">
            <v>5110.0614912240999</v>
          </cell>
          <cell r="X162">
            <v>4981.990771591999</v>
          </cell>
          <cell r="Y162">
            <v>4981.990771591999</v>
          </cell>
          <cell r="Z162">
            <v>4981.990771591999</v>
          </cell>
          <cell r="AA162">
            <v>4981.990771591999</v>
          </cell>
          <cell r="AB162">
            <v>4981.990771591999</v>
          </cell>
          <cell r="AC162">
            <v>4981.990771591999</v>
          </cell>
          <cell r="AD162">
            <v>4981.990771591999</v>
          </cell>
          <cell r="AE162">
            <v>4981.990771591999</v>
          </cell>
          <cell r="AF162">
            <v>4981.990771591999</v>
          </cell>
          <cell r="AG162">
            <v>4981.990771591999</v>
          </cell>
          <cell r="AH162">
            <v>4981.990771591999</v>
          </cell>
          <cell r="AI162">
            <v>4981.990771591999</v>
          </cell>
          <cell r="AJ162">
            <v>7056.169187073996</v>
          </cell>
          <cell r="AK162">
            <v>7205.509149999998</v>
          </cell>
          <cell r="AL162">
            <v>7205.5091500000017</v>
          </cell>
          <cell r="AM162">
            <v>7205.5091500000017</v>
          </cell>
          <cell r="AN162">
            <v>7205.5091500000017</v>
          </cell>
          <cell r="AO162">
            <v>7205.5091500000008</v>
          </cell>
          <cell r="AP162">
            <v>5301.2529500000319</v>
          </cell>
          <cell r="AQ162">
            <v>0</v>
          </cell>
          <cell r="AR162">
            <v>0</v>
          </cell>
          <cell r="AS162">
            <v>0</v>
          </cell>
          <cell r="AT162">
            <v>0</v>
          </cell>
        </row>
        <row r="164">
          <cell r="E164" t="str">
            <v>NPO</v>
          </cell>
          <cell r="F164" t="str">
            <v>[t'000]</v>
          </cell>
          <cell r="I164">
            <v>620.69905999999992</v>
          </cell>
          <cell r="J164">
            <v>368.34391800000014</v>
          </cell>
          <cell r="K164">
            <v>322.69403000000017</v>
          </cell>
          <cell r="L164">
            <v>313.56480000000005</v>
          </cell>
          <cell r="M164">
            <v>300.28874933159648</v>
          </cell>
          <cell r="N164">
            <v>360.27545750000002</v>
          </cell>
          <cell r="O164">
            <v>360.27545750000002</v>
          </cell>
          <cell r="P164">
            <v>720.55091500000003</v>
          </cell>
          <cell r="Q164">
            <v>720.55091500000003</v>
          </cell>
          <cell r="R164">
            <v>721</v>
          </cell>
          <cell r="S164">
            <v>721</v>
          </cell>
          <cell r="T164">
            <v>721</v>
          </cell>
          <cell r="U164">
            <v>721</v>
          </cell>
          <cell r="V164">
            <v>721</v>
          </cell>
          <cell r="W164">
            <v>721</v>
          </cell>
          <cell r="X164">
            <v>360.5</v>
          </cell>
          <cell r="Y164">
            <v>360.5</v>
          </cell>
          <cell r="Z164">
            <v>360.5</v>
          </cell>
          <cell r="AA164">
            <v>360.5</v>
          </cell>
          <cell r="AB164">
            <v>360.5</v>
          </cell>
          <cell r="AC164">
            <v>360.5</v>
          </cell>
          <cell r="AD164">
            <v>360.5</v>
          </cell>
          <cell r="AE164">
            <v>360.5</v>
          </cell>
          <cell r="AF164">
            <v>360.5</v>
          </cell>
          <cell r="AG164">
            <v>360.5</v>
          </cell>
          <cell r="AH164">
            <v>360.5</v>
          </cell>
          <cell r="AI164">
            <v>360.5</v>
          </cell>
          <cell r="AJ164">
            <v>216.87135637736523</v>
          </cell>
          <cell r="AK164">
            <v>0</v>
          </cell>
          <cell r="AL164">
            <v>0</v>
          </cell>
          <cell r="AM164">
            <v>0</v>
          </cell>
          <cell r="AN164">
            <v>0</v>
          </cell>
          <cell r="AO164">
            <v>0</v>
          </cell>
          <cell r="AP164">
            <v>0</v>
          </cell>
          <cell r="AQ164">
            <v>0</v>
          </cell>
          <cell r="AR164">
            <v>0</v>
          </cell>
          <cell r="AS164">
            <v>0</v>
          </cell>
          <cell r="AT164">
            <v>0</v>
          </cell>
        </row>
        <row r="165">
          <cell r="E165" t="str">
            <v>Hematitinha</v>
          </cell>
          <cell r="F165" t="str">
            <v>[t'000]</v>
          </cell>
          <cell r="I165">
            <v>294.54388999999998</v>
          </cell>
          <cell r="J165">
            <v>264.38076000000001</v>
          </cell>
          <cell r="K165">
            <v>174.78152</v>
          </cell>
          <cell r="L165">
            <v>172.18617000000003</v>
          </cell>
          <cell r="M165">
            <v>58.000000000000007</v>
          </cell>
          <cell r="N165">
            <v>209.2912187709</v>
          </cell>
          <cell r="O165">
            <v>209.2912187709</v>
          </cell>
          <cell r="P165">
            <v>418.5824375418</v>
          </cell>
          <cell r="Q165">
            <v>418.5824375418</v>
          </cell>
          <cell r="R165">
            <v>418.5824375418</v>
          </cell>
          <cell r="S165">
            <v>418.5824375418</v>
          </cell>
          <cell r="T165">
            <v>418.5824375418</v>
          </cell>
          <cell r="U165">
            <v>418.5824375418</v>
          </cell>
          <cell r="V165">
            <v>418.5824375418</v>
          </cell>
          <cell r="W165">
            <v>418.5824375418</v>
          </cell>
          <cell r="X165">
            <v>209.2912187709</v>
          </cell>
          <cell r="Y165">
            <v>209.2912187709</v>
          </cell>
          <cell r="Z165">
            <v>209.2912187709</v>
          </cell>
          <cell r="AA165">
            <v>209.2912187709</v>
          </cell>
          <cell r="AB165">
            <v>209.2912187709</v>
          </cell>
          <cell r="AC165">
            <v>209.2912187709</v>
          </cell>
          <cell r="AD165">
            <v>209.2912187709</v>
          </cell>
          <cell r="AE165">
            <v>209.2912187709</v>
          </cell>
          <cell r="AF165">
            <v>209.2912187709</v>
          </cell>
          <cell r="AG165">
            <v>209.2912187709</v>
          </cell>
          <cell r="AH165">
            <v>209.2912187709</v>
          </cell>
          <cell r="AI165">
            <v>209.2912187709</v>
          </cell>
          <cell r="AJ165">
            <v>125.9064368730013</v>
          </cell>
          <cell r="AK165">
            <v>0</v>
          </cell>
          <cell r="AL165">
            <v>0</v>
          </cell>
          <cell r="AM165">
            <v>0</v>
          </cell>
          <cell r="AN165">
            <v>0</v>
          </cell>
          <cell r="AO165">
            <v>0</v>
          </cell>
          <cell r="AP165">
            <v>0</v>
          </cell>
          <cell r="AQ165">
            <v>0</v>
          </cell>
          <cell r="AR165">
            <v>0</v>
          </cell>
          <cell r="AS165">
            <v>0</v>
          </cell>
          <cell r="AT165">
            <v>0</v>
          </cell>
        </row>
        <row r="166">
          <cell r="E166" t="str">
            <v>Sinter feed</v>
          </cell>
          <cell r="F166" t="str">
            <v>[t'000]</v>
          </cell>
          <cell r="I166">
            <v>1522.5605</v>
          </cell>
          <cell r="J166">
            <v>1478.4160500000003</v>
          </cell>
          <cell r="K166">
            <v>1793.3652300000001</v>
          </cell>
          <cell r="L166">
            <v>1809.3689799999986</v>
          </cell>
          <cell r="M166">
            <v>1124</v>
          </cell>
          <cell r="N166">
            <v>1677.2551868821001</v>
          </cell>
          <cell r="O166">
            <v>1677.2551868821001</v>
          </cell>
          <cell r="P166">
            <v>3354.5103737642003</v>
          </cell>
          <cell r="Q166">
            <v>3354.5103737642003</v>
          </cell>
          <cell r="R166">
            <v>3354.5103737642003</v>
          </cell>
          <cell r="S166">
            <v>3354.5103737642003</v>
          </cell>
          <cell r="T166">
            <v>3354.5103737642003</v>
          </cell>
          <cell r="U166">
            <v>3354.5103737642003</v>
          </cell>
          <cell r="V166">
            <v>3354.5103737642003</v>
          </cell>
          <cell r="W166">
            <v>3354.5103737642003</v>
          </cell>
          <cell r="X166">
            <v>1677.2551868821001</v>
          </cell>
          <cell r="Y166">
            <v>1677.2551868821001</v>
          </cell>
          <cell r="Z166">
            <v>1677.2551868821001</v>
          </cell>
          <cell r="AA166">
            <v>1677.2551868821001</v>
          </cell>
          <cell r="AB166">
            <v>1677.2551868821001</v>
          </cell>
          <cell r="AC166">
            <v>1677.2551868821001</v>
          </cell>
          <cell r="AD166">
            <v>1677.2551868821001</v>
          </cell>
          <cell r="AE166">
            <v>1677.2551868821001</v>
          </cell>
          <cell r="AF166">
            <v>1677.2551868821001</v>
          </cell>
          <cell r="AG166">
            <v>1677.2551868821001</v>
          </cell>
          <cell r="AH166">
            <v>1677.2551868821001</v>
          </cell>
          <cell r="AI166">
            <v>1677.2551868821001</v>
          </cell>
          <cell r="AJ166">
            <v>1009.0113935370105</v>
          </cell>
          <cell r="AK166">
            <v>0</v>
          </cell>
          <cell r="AL166">
            <v>0</v>
          </cell>
          <cell r="AM166">
            <v>0</v>
          </cell>
          <cell r="AN166">
            <v>0</v>
          </cell>
          <cell r="AO166">
            <v>0</v>
          </cell>
          <cell r="AP166">
            <v>0</v>
          </cell>
          <cell r="AQ166">
            <v>0</v>
          </cell>
          <cell r="AR166">
            <v>0</v>
          </cell>
          <cell r="AS166">
            <v>0</v>
          </cell>
          <cell r="AT166">
            <v>0</v>
          </cell>
        </row>
        <row r="167">
          <cell r="E167" t="str">
            <v>Sinter feed silicoso</v>
          </cell>
          <cell r="F167" t="str">
            <v>[t'000]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row>
        <row r="168">
          <cell r="E168" t="str">
            <v>Pellet feed</v>
          </cell>
          <cell r="F168" t="str">
            <v>[t'000]</v>
          </cell>
          <cell r="I168">
            <v>792.85265500000003</v>
          </cell>
          <cell r="J168">
            <v>1236.56808</v>
          </cell>
          <cell r="K168">
            <v>1051.1545500000002</v>
          </cell>
          <cell r="L168">
            <v>1021.65827</v>
          </cell>
          <cell r="M168">
            <v>1710</v>
          </cell>
          <cell r="N168">
            <v>2053.5701077499998</v>
          </cell>
          <cell r="O168">
            <v>2053.5701077499998</v>
          </cell>
          <cell r="P168">
            <v>4107.1402154999996</v>
          </cell>
          <cell r="Q168">
            <v>4107.1402154999996</v>
          </cell>
          <cell r="R168">
            <v>4107.1402154999996</v>
          </cell>
          <cell r="S168">
            <v>4107.1402154999996</v>
          </cell>
          <cell r="T168">
            <v>4107.1402154999996</v>
          </cell>
          <cell r="U168">
            <v>4107.1402154999996</v>
          </cell>
          <cell r="V168">
            <v>4107.1402154999996</v>
          </cell>
          <cell r="W168">
            <v>4107.1402154999996</v>
          </cell>
          <cell r="X168">
            <v>5656.3246827499988</v>
          </cell>
          <cell r="Y168">
            <v>5656.3246827499988</v>
          </cell>
          <cell r="Z168">
            <v>5656.3246827499988</v>
          </cell>
          <cell r="AA168">
            <v>5656.3246827499988</v>
          </cell>
          <cell r="AB168">
            <v>5656.3246827499988</v>
          </cell>
          <cell r="AC168">
            <v>5656.3246827499988</v>
          </cell>
          <cell r="AD168">
            <v>5656.3246827499988</v>
          </cell>
          <cell r="AE168">
            <v>5656.3246827499988</v>
          </cell>
          <cell r="AF168">
            <v>5656.3246827499988</v>
          </cell>
          <cell r="AG168">
            <v>5656.3246827499988</v>
          </cell>
          <cell r="AH168">
            <v>5656.3246827499988</v>
          </cell>
          <cell r="AI168">
            <v>5656.3246827499988</v>
          </cell>
          <cell r="AJ168">
            <v>6047.157793536986</v>
          </cell>
          <cell r="AK168">
            <v>7205.509149999998</v>
          </cell>
          <cell r="AL168">
            <v>7205.5091500000017</v>
          </cell>
          <cell r="AM168">
            <v>7205.5091500000017</v>
          </cell>
          <cell r="AN168">
            <v>7205.5091500000017</v>
          </cell>
          <cell r="AO168">
            <v>7205.5091500000008</v>
          </cell>
          <cell r="AP168">
            <v>5301.2529500000319</v>
          </cell>
          <cell r="AQ168">
            <v>0</v>
          </cell>
          <cell r="AR168">
            <v>0</v>
          </cell>
          <cell r="AS168">
            <v>0</v>
          </cell>
          <cell r="AT168">
            <v>0</v>
          </cell>
        </row>
        <row r="169">
          <cell r="E169" t="str">
            <v>Sinter feed blend</v>
          </cell>
          <cell r="F169" t="str">
            <v>[t'000]</v>
          </cell>
          <cell r="I169">
            <v>368.30646999999982</v>
          </cell>
          <cell r="J169">
            <v>770.47268999999994</v>
          </cell>
          <cell r="K169">
            <v>685.8056959999999</v>
          </cell>
          <cell r="L169">
            <v>810.50010999999995</v>
          </cell>
          <cell r="M169">
            <v>1008.0531719999996</v>
          </cell>
          <cell r="N169">
            <v>743.46443409700009</v>
          </cell>
          <cell r="O169">
            <v>743.46443409700009</v>
          </cell>
          <cell r="P169">
            <v>1486.9288681940002</v>
          </cell>
          <cell r="Q169">
            <v>1486.9288681940002</v>
          </cell>
          <cell r="R169">
            <v>1486.9288681940002</v>
          </cell>
          <cell r="S169">
            <v>1486.9288681940002</v>
          </cell>
          <cell r="T169">
            <v>1486.9288681940002</v>
          </cell>
          <cell r="U169">
            <v>1486.9288681940002</v>
          </cell>
          <cell r="V169">
            <v>1486.9288681940002</v>
          </cell>
          <cell r="W169">
            <v>1486.9288681940002</v>
          </cell>
          <cell r="X169">
            <v>743.46443409699998</v>
          </cell>
          <cell r="Y169">
            <v>743</v>
          </cell>
          <cell r="Z169">
            <v>743</v>
          </cell>
          <cell r="AA169">
            <v>743</v>
          </cell>
          <cell r="AB169">
            <v>743</v>
          </cell>
          <cell r="AC169">
            <v>743</v>
          </cell>
          <cell r="AD169">
            <v>743</v>
          </cell>
          <cell r="AE169">
            <v>743</v>
          </cell>
          <cell r="AF169">
            <v>743</v>
          </cell>
          <cell r="AG169">
            <v>743</v>
          </cell>
          <cell r="AH169">
            <v>743</v>
          </cell>
          <cell r="AI169">
            <v>743</v>
          </cell>
          <cell r="AJ169">
            <v>446.97758055029783</v>
          </cell>
          <cell r="AK169">
            <v>0</v>
          </cell>
          <cell r="AL169">
            <v>0</v>
          </cell>
          <cell r="AM169">
            <v>0</v>
          </cell>
          <cell r="AN169">
            <v>0</v>
          </cell>
          <cell r="AO169">
            <v>0</v>
          </cell>
          <cell r="AP169">
            <v>0</v>
          </cell>
          <cell r="AQ169">
            <v>0</v>
          </cell>
          <cell r="AR169">
            <v>0</v>
          </cell>
          <cell r="AS169">
            <v>0</v>
          </cell>
          <cell r="AT169">
            <v>0</v>
          </cell>
        </row>
        <row r="170">
          <cell r="E170" t="str">
            <v>CONC. FINO</v>
          </cell>
          <cell r="F170" t="str">
            <v>[t'000]</v>
          </cell>
          <cell r="I170">
            <v>414.97692000000006</v>
          </cell>
          <cell r="J170">
            <v>61.35812</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row>
        <row r="173">
          <cell r="E173" t="str">
            <v>Export Sales</v>
          </cell>
          <cell r="F173" t="str">
            <v>[t'000]</v>
          </cell>
          <cell r="I173">
            <v>0</v>
          </cell>
          <cell r="J173">
            <v>0</v>
          </cell>
          <cell r="K173">
            <v>0</v>
          </cell>
          <cell r="L173">
            <v>0</v>
          </cell>
          <cell r="M173">
            <v>0</v>
          </cell>
          <cell r="N173">
            <v>0</v>
          </cell>
          <cell r="O173">
            <v>1379.2361965920002</v>
          </cell>
          <cell r="P173">
            <v>5110.0614912240999</v>
          </cell>
          <cell r="Q173">
            <v>5110.0614912240999</v>
          </cell>
          <cell r="R173">
            <v>5110.0614912240999</v>
          </cell>
          <cell r="S173">
            <v>5110.0614912240999</v>
          </cell>
          <cell r="T173">
            <v>5110.0614912240999</v>
          </cell>
          <cell r="U173">
            <v>5110.0614912240999</v>
          </cell>
          <cell r="V173">
            <v>5110.0614912240999</v>
          </cell>
          <cell r="W173">
            <v>5110.0614912240999</v>
          </cell>
          <cell r="X173">
            <v>4981.990771591999</v>
          </cell>
          <cell r="Y173">
            <v>4981.990771591999</v>
          </cell>
          <cell r="Z173">
            <v>4981.990771591999</v>
          </cell>
          <cell r="AA173">
            <v>4981.990771591999</v>
          </cell>
          <cell r="AB173">
            <v>4981.990771591999</v>
          </cell>
          <cell r="AC173">
            <v>4981.990771591999</v>
          </cell>
          <cell r="AD173">
            <v>4981.990771591999</v>
          </cell>
          <cell r="AE173">
            <v>4981.990771591999</v>
          </cell>
          <cell r="AF173">
            <v>4981.990771591999</v>
          </cell>
          <cell r="AG173">
            <v>4981.990771591999</v>
          </cell>
          <cell r="AH173">
            <v>4981.990771591999</v>
          </cell>
          <cell r="AI173">
            <v>4981.990771591999</v>
          </cell>
          <cell r="AJ173">
            <v>7056.169187073996</v>
          </cell>
          <cell r="AK173">
            <v>7205.509149999998</v>
          </cell>
          <cell r="AL173">
            <v>7205.5091500000017</v>
          </cell>
          <cell r="AM173">
            <v>7205.5091500000017</v>
          </cell>
          <cell r="AN173">
            <v>7205.5091500000017</v>
          </cell>
          <cell r="AO173">
            <v>7205.5091500000008</v>
          </cell>
          <cell r="AP173">
            <v>5301.2529500000319</v>
          </cell>
          <cell r="AQ173">
            <v>0</v>
          </cell>
          <cell r="AR173">
            <v>0</v>
          </cell>
          <cell r="AS173">
            <v>0</v>
          </cell>
          <cell r="AT173">
            <v>0</v>
          </cell>
        </row>
        <row r="175">
          <cell r="E175" t="str">
            <v>NPO</v>
          </cell>
          <cell r="F175" t="str">
            <v>[t'000]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row>
        <row r="176">
          <cell r="E176" t="str">
            <v>Hematitinha</v>
          </cell>
          <cell r="F176" t="str">
            <v>[t'000]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row>
        <row r="177">
          <cell r="E177" t="str">
            <v>Sinter feed</v>
          </cell>
          <cell r="F177" t="str">
            <v>[t'000]</v>
          </cell>
          <cell r="N177">
            <v>0</v>
          </cell>
          <cell r="O177">
            <v>0</v>
          </cell>
          <cell r="P177">
            <v>1677.2551868821001</v>
          </cell>
          <cell r="Q177">
            <v>1677.2551868821001</v>
          </cell>
          <cell r="R177">
            <v>1677.2551868821001</v>
          </cell>
          <cell r="S177">
            <v>1677.2551868821001</v>
          </cell>
          <cell r="T177">
            <v>1677.2551868821001</v>
          </cell>
          <cell r="U177">
            <v>1677.2551868821001</v>
          </cell>
          <cell r="V177">
            <v>1677.2551868821001</v>
          </cell>
          <cell r="W177">
            <v>1677.2551868821001</v>
          </cell>
          <cell r="X177">
            <v>0</v>
          </cell>
          <cell r="Y177">
            <v>0</v>
          </cell>
          <cell r="Z177">
            <v>0</v>
          </cell>
          <cell r="AA177">
            <v>0</v>
          </cell>
          <cell r="AB177">
            <v>0</v>
          </cell>
          <cell r="AC177">
            <v>0</v>
          </cell>
          <cell r="AD177">
            <v>0</v>
          </cell>
          <cell r="AE177">
            <v>0</v>
          </cell>
          <cell r="AF177">
            <v>0</v>
          </cell>
          <cell r="AG177">
            <v>0</v>
          </cell>
          <cell r="AH177">
            <v>0</v>
          </cell>
          <cell r="AI177">
            <v>0</v>
          </cell>
          <cell r="AJ177">
            <v>1009.0113935370105</v>
          </cell>
          <cell r="AK177">
            <v>0</v>
          </cell>
          <cell r="AL177">
            <v>0</v>
          </cell>
          <cell r="AM177">
            <v>0</v>
          </cell>
          <cell r="AN177">
            <v>0</v>
          </cell>
          <cell r="AO177">
            <v>0</v>
          </cell>
          <cell r="AP177">
            <v>0</v>
          </cell>
          <cell r="AQ177">
            <v>0</v>
          </cell>
          <cell r="AR177">
            <v>0</v>
          </cell>
          <cell r="AS177">
            <v>0</v>
          </cell>
          <cell r="AT177">
            <v>0</v>
          </cell>
        </row>
        <row r="178">
          <cell r="E178" t="str">
            <v>Sinter feed silicoso</v>
          </cell>
          <cell r="F178" t="str">
            <v>[t'000]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row>
        <row r="179">
          <cell r="E179" t="str">
            <v>Pellet feed</v>
          </cell>
          <cell r="F179" t="str">
            <v>[t'000]</v>
          </cell>
          <cell r="N179">
            <v>0</v>
          </cell>
          <cell r="O179">
            <v>1379.2361965920002</v>
          </cell>
          <cell r="P179">
            <v>3432.8063043419997</v>
          </cell>
          <cell r="Q179">
            <v>3432.8063043419997</v>
          </cell>
          <cell r="R179">
            <v>3432.8063043419997</v>
          </cell>
          <cell r="S179">
            <v>3432.8063043419997</v>
          </cell>
          <cell r="T179">
            <v>3432.8063043419997</v>
          </cell>
          <cell r="U179">
            <v>3432.8063043419997</v>
          </cell>
          <cell r="V179">
            <v>3432.8063043419997</v>
          </cell>
          <cell r="W179">
            <v>3432.8063043419997</v>
          </cell>
          <cell r="X179">
            <v>4981.990771591999</v>
          </cell>
          <cell r="Y179">
            <v>4981.990771591999</v>
          </cell>
          <cell r="Z179">
            <v>4981.990771591999</v>
          </cell>
          <cell r="AA179">
            <v>4981.990771591999</v>
          </cell>
          <cell r="AB179">
            <v>4981.990771591999</v>
          </cell>
          <cell r="AC179">
            <v>4981.990771591999</v>
          </cell>
          <cell r="AD179">
            <v>4981.990771591999</v>
          </cell>
          <cell r="AE179">
            <v>4981.990771591999</v>
          </cell>
          <cell r="AF179">
            <v>4981.990771591999</v>
          </cell>
          <cell r="AG179">
            <v>4981.990771591999</v>
          </cell>
          <cell r="AH179">
            <v>4981.990771591999</v>
          </cell>
          <cell r="AI179">
            <v>4981.990771591999</v>
          </cell>
          <cell r="AJ179">
            <v>6047.157793536986</v>
          </cell>
          <cell r="AK179">
            <v>7205.509149999998</v>
          </cell>
          <cell r="AL179">
            <v>7205.5091500000017</v>
          </cell>
          <cell r="AM179">
            <v>7205.5091500000017</v>
          </cell>
          <cell r="AN179">
            <v>7205.5091500000017</v>
          </cell>
          <cell r="AO179">
            <v>7205.5091500000008</v>
          </cell>
          <cell r="AP179">
            <v>5301.2529500000319</v>
          </cell>
          <cell r="AQ179">
            <v>0</v>
          </cell>
          <cell r="AR179">
            <v>0</v>
          </cell>
          <cell r="AS179">
            <v>0</v>
          </cell>
          <cell r="AT179">
            <v>0</v>
          </cell>
        </row>
        <row r="180">
          <cell r="E180" t="str">
            <v>Sinter feed blend</v>
          </cell>
          <cell r="F180" t="str">
            <v>[t'000]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row>
        <row r="181">
          <cell r="E181" t="str">
            <v>CONC. FINO</v>
          </cell>
          <cell r="F181" t="str">
            <v>[t'000]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row>
        <row r="183">
          <cell r="E183" t="str">
            <v>Domestic Sales</v>
          </cell>
          <cell r="F183" t="str">
            <v>[t'000]</v>
          </cell>
          <cell r="I183">
            <v>4013.9394950000001</v>
          </cell>
          <cell r="J183">
            <v>4179.5396179999998</v>
          </cell>
          <cell r="K183">
            <v>4027.8010260000005</v>
          </cell>
          <cell r="L183">
            <v>4127.2783299999983</v>
          </cell>
          <cell r="M183">
            <v>4200.3419213315965</v>
          </cell>
          <cell r="N183">
            <v>5043.8564049999995</v>
          </cell>
          <cell r="O183">
            <v>3664.6202084079996</v>
          </cell>
          <cell r="P183">
            <v>4977.6513187758992</v>
          </cell>
          <cell r="Q183">
            <v>4977.6513187758992</v>
          </cell>
          <cell r="R183">
            <v>4978.1004037758994</v>
          </cell>
          <cell r="S183">
            <v>4978.1004037758994</v>
          </cell>
          <cell r="T183">
            <v>4978.1004037758994</v>
          </cell>
          <cell r="U183">
            <v>4978.1004037758994</v>
          </cell>
          <cell r="V183">
            <v>4978.1004037758994</v>
          </cell>
          <cell r="W183">
            <v>4978.1004037758994</v>
          </cell>
          <cell r="X183">
            <v>3664.8447509079997</v>
          </cell>
          <cell r="Y183">
            <v>3664.3803168109998</v>
          </cell>
          <cell r="Z183">
            <v>3664.3803168109998</v>
          </cell>
          <cell r="AA183">
            <v>3664.3803168109998</v>
          </cell>
          <cell r="AB183">
            <v>3664.3803168109998</v>
          </cell>
          <cell r="AC183">
            <v>3664.3803168109998</v>
          </cell>
          <cell r="AD183">
            <v>3664.3803168109998</v>
          </cell>
          <cell r="AE183">
            <v>3664.3803168109998</v>
          </cell>
          <cell r="AF183">
            <v>3664.3803168109998</v>
          </cell>
          <cell r="AG183">
            <v>3664.3803168109998</v>
          </cell>
          <cell r="AH183">
            <v>3664.3803168109998</v>
          </cell>
          <cell r="AI183">
            <v>3664.3803168109998</v>
          </cell>
          <cell r="AJ183">
            <v>789.7553738006643</v>
          </cell>
          <cell r="AK183">
            <v>0</v>
          </cell>
          <cell r="AL183">
            <v>0</v>
          </cell>
          <cell r="AM183">
            <v>0</v>
          </cell>
          <cell r="AN183">
            <v>0</v>
          </cell>
          <cell r="AO183">
            <v>0</v>
          </cell>
          <cell r="AP183">
            <v>0</v>
          </cell>
          <cell r="AQ183">
            <v>0</v>
          </cell>
          <cell r="AR183">
            <v>0</v>
          </cell>
          <cell r="AS183">
            <v>0</v>
          </cell>
          <cell r="AT183">
            <v>0</v>
          </cell>
        </row>
        <row r="185">
          <cell r="E185" t="str">
            <v>NPO</v>
          </cell>
          <cell r="F185" t="str">
            <v>[t'000]</v>
          </cell>
          <cell r="I185">
            <v>620.69905999999992</v>
          </cell>
          <cell r="J185">
            <v>368.34391800000014</v>
          </cell>
          <cell r="K185">
            <v>322.69403000000017</v>
          </cell>
          <cell r="L185">
            <v>313.56480000000005</v>
          </cell>
          <cell r="M185">
            <v>300.28874933159648</v>
          </cell>
          <cell r="N185">
            <v>360.27545750000002</v>
          </cell>
          <cell r="O185">
            <v>360.27545750000002</v>
          </cell>
          <cell r="P185">
            <v>720.55091500000003</v>
          </cell>
          <cell r="Q185">
            <v>720.55091500000003</v>
          </cell>
          <cell r="R185">
            <v>721</v>
          </cell>
          <cell r="S185">
            <v>721</v>
          </cell>
          <cell r="T185">
            <v>721</v>
          </cell>
          <cell r="U185">
            <v>721</v>
          </cell>
          <cell r="V185">
            <v>721</v>
          </cell>
          <cell r="W185">
            <v>721</v>
          </cell>
          <cell r="X185">
            <v>360.5</v>
          </cell>
          <cell r="Y185">
            <v>360.5</v>
          </cell>
          <cell r="Z185">
            <v>360.5</v>
          </cell>
          <cell r="AA185">
            <v>360.5</v>
          </cell>
          <cell r="AB185">
            <v>360.5</v>
          </cell>
          <cell r="AC185">
            <v>360.5</v>
          </cell>
          <cell r="AD185">
            <v>360.5</v>
          </cell>
          <cell r="AE185">
            <v>360.5</v>
          </cell>
          <cell r="AF185">
            <v>360.5</v>
          </cell>
          <cell r="AG185">
            <v>360.5</v>
          </cell>
          <cell r="AH185">
            <v>360.5</v>
          </cell>
          <cell r="AI185">
            <v>360.5</v>
          </cell>
          <cell r="AJ185">
            <v>216.87135637736523</v>
          </cell>
          <cell r="AK185">
            <v>0</v>
          </cell>
          <cell r="AL185">
            <v>0</v>
          </cell>
          <cell r="AM185">
            <v>0</v>
          </cell>
          <cell r="AN185">
            <v>0</v>
          </cell>
          <cell r="AO185">
            <v>0</v>
          </cell>
          <cell r="AP185">
            <v>0</v>
          </cell>
          <cell r="AQ185">
            <v>0</v>
          </cell>
          <cell r="AR185">
            <v>0</v>
          </cell>
          <cell r="AS185">
            <v>0</v>
          </cell>
          <cell r="AT185">
            <v>0</v>
          </cell>
        </row>
        <row r="186">
          <cell r="E186" t="str">
            <v>Hematitinha</v>
          </cell>
          <cell r="F186" t="str">
            <v>[t'000]</v>
          </cell>
          <cell r="I186">
            <v>294.54388999999998</v>
          </cell>
          <cell r="J186">
            <v>264.38076000000001</v>
          </cell>
          <cell r="K186">
            <v>174.78152</v>
          </cell>
          <cell r="L186">
            <v>172.18617000000003</v>
          </cell>
          <cell r="M186">
            <v>58.000000000000007</v>
          </cell>
          <cell r="N186">
            <v>209.2912187709</v>
          </cell>
          <cell r="O186">
            <v>209.2912187709</v>
          </cell>
          <cell r="P186">
            <v>418.5824375418</v>
          </cell>
          <cell r="Q186">
            <v>418.5824375418</v>
          </cell>
          <cell r="R186">
            <v>418.5824375418</v>
          </cell>
          <cell r="S186">
            <v>418.5824375418</v>
          </cell>
          <cell r="T186">
            <v>418.5824375418</v>
          </cell>
          <cell r="U186">
            <v>418.5824375418</v>
          </cell>
          <cell r="V186">
            <v>418.5824375418</v>
          </cell>
          <cell r="W186">
            <v>418.5824375418</v>
          </cell>
          <cell r="X186">
            <v>209.2912187709</v>
          </cell>
          <cell r="Y186">
            <v>209.2912187709</v>
          </cell>
          <cell r="Z186">
            <v>209.2912187709</v>
          </cell>
          <cell r="AA186">
            <v>209.2912187709</v>
          </cell>
          <cell r="AB186">
            <v>209.2912187709</v>
          </cell>
          <cell r="AC186">
            <v>209.2912187709</v>
          </cell>
          <cell r="AD186">
            <v>209.2912187709</v>
          </cell>
          <cell r="AE186">
            <v>209.2912187709</v>
          </cell>
          <cell r="AF186">
            <v>209.2912187709</v>
          </cell>
          <cell r="AG186">
            <v>209.2912187709</v>
          </cell>
          <cell r="AH186">
            <v>209.2912187709</v>
          </cell>
          <cell r="AI186">
            <v>209.2912187709</v>
          </cell>
          <cell r="AJ186">
            <v>125.9064368730013</v>
          </cell>
          <cell r="AK186">
            <v>0</v>
          </cell>
          <cell r="AL186">
            <v>0</v>
          </cell>
          <cell r="AM186">
            <v>0</v>
          </cell>
          <cell r="AN186">
            <v>0</v>
          </cell>
          <cell r="AO186">
            <v>0</v>
          </cell>
          <cell r="AP186">
            <v>0</v>
          </cell>
          <cell r="AQ186">
            <v>0</v>
          </cell>
          <cell r="AR186">
            <v>0</v>
          </cell>
          <cell r="AS186">
            <v>0</v>
          </cell>
          <cell r="AT186">
            <v>0</v>
          </cell>
        </row>
        <row r="187">
          <cell r="E187" t="str">
            <v>Sinter feed</v>
          </cell>
          <cell r="F187" t="str">
            <v>[t'000]</v>
          </cell>
          <cell r="I187">
            <v>1522.5605</v>
          </cell>
          <cell r="J187">
            <v>1478.4160500000003</v>
          </cell>
          <cell r="K187">
            <v>1793.3652300000001</v>
          </cell>
          <cell r="L187">
            <v>1809.3689799999986</v>
          </cell>
          <cell r="M187">
            <v>1124</v>
          </cell>
          <cell r="N187">
            <v>1677.2551868821001</v>
          </cell>
          <cell r="O187">
            <v>1677.2551868821001</v>
          </cell>
          <cell r="P187">
            <v>1677.2551868821001</v>
          </cell>
          <cell r="Q187">
            <v>1677.2551868821001</v>
          </cell>
          <cell r="R187">
            <v>1677.2551868821001</v>
          </cell>
          <cell r="S187">
            <v>1677.2551868821001</v>
          </cell>
          <cell r="T187">
            <v>1677.2551868821001</v>
          </cell>
          <cell r="U187">
            <v>1677.2551868821001</v>
          </cell>
          <cell r="V187">
            <v>1677.2551868821001</v>
          </cell>
          <cell r="W187">
            <v>1677.2551868821001</v>
          </cell>
          <cell r="X187">
            <v>1677.2551868821001</v>
          </cell>
          <cell r="Y187">
            <v>1677.2551868821001</v>
          </cell>
          <cell r="Z187">
            <v>1677.2551868821001</v>
          </cell>
          <cell r="AA187">
            <v>1677.2551868821001</v>
          </cell>
          <cell r="AB187">
            <v>1677.2551868821001</v>
          </cell>
          <cell r="AC187">
            <v>1677.2551868821001</v>
          </cell>
          <cell r="AD187">
            <v>1677.2551868821001</v>
          </cell>
          <cell r="AE187">
            <v>1677.2551868821001</v>
          </cell>
          <cell r="AF187">
            <v>1677.2551868821001</v>
          </cell>
          <cell r="AG187">
            <v>1677.2551868821001</v>
          </cell>
          <cell r="AH187">
            <v>1677.2551868821001</v>
          </cell>
          <cell r="AI187">
            <v>1677.2551868821001</v>
          </cell>
          <cell r="AJ187">
            <v>0</v>
          </cell>
          <cell r="AK187">
            <v>0</v>
          </cell>
          <cell r="AL187">
            <v>0</v>
          </cell>
          <cell r="AM187">
            <v>0</v>
          </cell>
          <cell r="AN187">
            <v>0</v>
          </cell>
          <cell r="AO187">
            <v>0</v>
          </cell>
          <cell r="AP187">
            <v>0</v>
          </cell>
          <cell r="AQ187">
            <v>0</v>
          </cell>
          <cell r="AR187">
            <v>0</v>
          </cell>
          <cell r="AS187">
            <v>0</v>
          </cell>
          <cell r="AT187">
            <v>0</v>
          </cell>
        </row>
        <row r="188">
          <cell r="E188" t="str">
            <v>Sinter feed silicoso</v>
          </cell>
          <cell r="F188" t="str">
            <v>[t'000]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row>
        <row r="189">
          <cell r="E189" t="str">
            <v>Pellet feed</v>
          </cell>
          <cell r="F189" t="str">
            <v>[t'000]</v>
          </cell>
          <cell r="I189">
            <v>792.85265500000003</v>
          </cell>
          <cell r="J189">
            <v>1236.56808</v>
          </cell>
          <cell r="K189">
            <v>1051.1545500000002</v>
          </cell>
          <cell r="L189">
            <v>1021.65827</v>
          </cell>
          <cell r="M189">
            <v>1710</v>
          </cell>
          <cell r="N189">
            <v>2053.5701077499998</v>
          </cell>
          <cell r="O189">
            <v>674.33391115799964</v>
          </cell>
          <cell r="P189">
            <v>674.33391115799964</v>
          </cell>
          <cell r="Q189">
            <v>674.33391115799964</v>
          </cell>
          <cell r="R189">
            <v>674.33391115799964</v>
          </cell>
          <cell r="S189">
            <v>674.33391115799964</v>
          </cell>
          <cell r="T189">
            <v>674.33391115799964</v>
          </cell>
          <cell r="U189">
            <v>674.33391115799964</v>
          </cell>
          <cell r="V189">
            <v>674.33391115799964</v>
          </cell>
          <cell r="W189">
            <v>674.33391115799964</v>
          </cell>
          <cell r="X189">
            <v>674.33391115799964</v>
          </cell>
          <cell r="Y189">
            <v>674.33391115799964</v>
          </cell>
          <cell r="Z189">
            <v>674.33391115799964</v>
          </cell>
          <cell r="AA189">
            <v>674.33391115799964</v>
          </cell>
          <cell r="AB189">
            <v>674.33391115799964</v>
          </cell>
          <cell r="AC189">
            <v>674.33391115799964</v>
          </cell>
          <cell r="AD189">
            <v>674.33391115799964</v>
          </cell>
          <cell r="AE189">
            <v>674.33391115799964</v>
          </cell>
          <cell r="AF189">
            <v>674.33391115799964</v>
          </cell>
          <cell r="AG189">
            <v>674.33391115799964</v>
          </cell>
          <cell r="AH189">
            <v>674.33391115799964</v>
          </cell>
          <cell r="AI189">
            <v>674.33391115799964</v>
          </cell>
          <cell r="AJ189">
            <v>0</v>
          </cell>
          <cell r="AK189">
            <v>0</v>
          </cell>
          <cell r="AL189">
            <v>0</v>
          </cell>
          <cell r="AM189">
            <v>0</v>
          </cell>
          <cell r="AN189">
            <v>0</v>
          </cell>
          <cell r="AO189">
            <v>0</v>
          </cell>
          <cell r="AP189">
            <v>0</v>
          </cell>
          <cell r="AQ189">
            <v>0</v>
          </cell>
          <cell r="AR189">
            <v>0</v>
          </cell>
          <cell r="AS189">
            <v>0</v>
          </cell>
          <cell r="AT189">
            <v>0</v>
          </cell>
        </row>
        <row r="190">
          <cell r="E190" t="str">
            <v>Sinter feed blend</v>
          </cell>
          <cell r="F190" t="str">
            <v>[t'000]</v>
          </cell>
          <cell r="I190">
            <v>368.30646999999982</v>
          </cell>
          <cell r="J190">
            <v>770.47268999999994</v>
          </cell>
          <cell r="K190">
            <v>685.8056959999999</v>
          </cell>
          <cell r="L190">
            <v>810.50010999999995</v>
          </cell>
          <cell r="M190">
            <v>1008.0531719999996</v>
          </cell>
          <cell r="N190">
            <v>743.46443409700009</v>
          </cell>
          <cell r="O190">
            <v>743.46443409700009</v>
          </cell>
          <cell r="P190">
            <v>1486.9288681940002</v>
          </cell>
          <cell r="Q190">
            <v>1486.9288681940002</v>
          </cell>
          <cell r="R190">
            <v>1486.9288681940002</v>
          </cell>
          <cell r="S190">
            <v>1486.9288681940002</v>
          </cell>
          <cell r="T190">
            <v>1486.9288681940002</v>
          </cell>
          <cell r="U190">
            <v>1486.9288681940002</v>
          </cell>
          <cell r="V190">
            <v>1486.9288681940002</v>
          </cell>
          <cell r="W190">
            <v>1486.9288681940002</v>
          </cell>
          <cell r="X190">
            <v>743.46443409699998</v>
          </cell>
          <cell r="Y190">
            <v>743</v>
          </cell>
          <cell r="Z190">
            <v>743</v>
          </cell>
          <cell r="AA190">
            <v>743</v>
          </cell>
          <cell r="AB190">
            <v>743</v>
          </cell>
          <cell r="AC190">
            <v>743</v>
          </cell>
          <cell r="AD190">
            <v>743</v>
          </cell>
          <cell r="AE190">
            <v>743</v>
          </cell>
          <cell r="AF190">
            <v>743</v>
          </cell>
          <cell r="AG190">
            <v>743</v>
          </cell>
          <cell r="AH190">
            <v>743</v>
          </cell>
          <cell r="AI190">
            <v>743</v>
          </cell>
          <cell r="AJ190">
            <v>446.97758055029783</v>
          </cell>
          <cell r="AK190">
            <v>0</v>
          </cell>
          <cell r="AL190">
            <v>0</v>
          </cell>
          <cell r="AM190">
            <v>0</v>
          </cell>
          <cell r="AN190">
            <v>0</v>
          </cell>
          <cell r="AO190">
            <v>0</v>
          </cell>
          <cell r="AP190">
            <v>0</v>
          </cell>
          <cell r="AQ190">
            <v>0</v>
          </cell>
          <cell r="AR190">
            <v>0</v>
          </cell>
          <cell r="AS190">
            <v>0</v>
          </cell>
          <cell r="AT190">
            <v>0</v>
          </cell>
        </row>
        <row r="191">
          <cell r="E191" t="str">
            <v>CONC. FINO</v>
          </cell>
          <cell r="F191" t="str">
            <v>[t'000]</v>
          </cell>
          <cell r="I191">
            <v>414.97692000000006</v>
          </cell>
          <cell r="J191">
            <v>61.35812</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row>
        <row r="193">
          <cell r="E193" t="str">
            <v>Vallourec Companies</v>
          </cell>
          <cell r="F193" t="str">
            <v>[t'000]</v>
          </cell>
          <cell r="I193">
            <v>881.95107500000017</v>
          </cell>
          <cell r="J193">
            <v>1462.0224700000001</v>
          </cell>
          <cell r="K193">
            <v>1364.5610400000003</v>
          </cell>
          <cell r="L193">
            <v>1226.39759</v>
          </cell>
          <cell r="M193">
            <v>1387.2887493315966</v>
          </cell>
          <cell r="N193">
            <v>1529.7411926045443</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row>
        <row r="195">
          <cell r="E195" t="str">
            <v>NPO</v>
          </cell>
          <cell r="F195" t="str">
            <v>[t'000]</v>
          </cell>
          <cell r="I195">
            <v>159.25017000000011</v>
          </cell>
          <cell r="J195">
            <v>116.46815000000005</v>
          </cell>
          <cell r="K195">
            <v>219.14381000000003</v>
          </cell>
          <cell r="L195">
            <v>181.67822000000004</v>
          </cell>
          <cell r="M195">
            <v>127.28874933159651</v>
          </cell>
          <cell r="N195">
            <v>150.50499601254407</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E196" t="str">
            <v>Hematitinha</v>
          </cell>
          <cell r="F196" t="str">
            <v>[t'000]</v>
          </cell>
          <cell r="I196">
            <v>96.221260000000001</v>
          </cell>
          <cell r="J196">
            <v>108.98624</v>
          </cell>
          <cell r="K196">
            <v>94.262679999999989</v>
          </cell>
          <cell r="L196">
            <v>23.061099999999993</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E197" t="str">
            <v>Sinter feed</v>
          </cell>
          <cell r="F197" t="str">
            <v>[t'000]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E198" t="str">
            <v>Sinter feed silicoso</v>
          </cell>
          <cell r="F198" t="str">
            <v>[t'000]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row>
        <row r="199">
          <cell r="E199" t="str">
            <v>Pellet feed</v>
          </cell>
          <cell r="F199" t="str">
            <v>[t'000]</v>
          </cell>
          <cell r="I199">
            <v>626.479645</v>
          </cell>
          <cell r="J199">
            <v>1236.56808</v>
          </cell>
          <cell r="K199">
            <v>1051.1545500000002</v>
          </cell>
          <cell r="L199">
            <v>1021.65827</v>
          </cell>
          <cell r="M199">
            <v>1260</v>
          </cell>
          <cell r="N199">
            <v>1379.2361965920002</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row>
        <row r="200">
          <cell r="E200" t="str">
            <v>Sinter feed blend</v>
          </cell>
          <cell r="F200" t="str">
            <v>[t'000]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E201" t="str">
            <v>CONC. FINO</v>
          </cell>
          <cell r="F201" t="str">
            <v>[t'000]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row>
        <row r="203">
          <cell r="E203" t="str">
            <v>VSB BH</v>
          </cell>
          <cell r="F203" t="str">
            <v>[t'000]</v>
          </cell>
          <cell r="I203">
            <v>0</v>
          </cell>
          <cell r="J203">
            <v>0</v>
          </cell>
          <cell r="K203">
            <v>0</v>
          </cell>
          <cell r="L203">
            <v>0</v>
          </cell>
          <cell r="M203">
            <v>127.28874933159651</v>
          </cell>
          <cell r="N203">
            <v>87.385943603012734</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row>
        <row r="205">
          <cell r="E205" t="str">
            <v>NPO</v>
          </cell>
          <cell r="F205" t="str">
            <v>[t'000]</v>
          </cell>
          <cell r="M205">
            <v>127.28874933159651</v>
          </cell>
          <cell r="N205">
            <v>87.385943603012734</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row>
        <row r="206">
          <cell r="E206" t="str">
            <v>Hematitinha</v>
          </cell>
          <cell r="F206" t="str">
            <v>[t'000]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row>
        <row r="207">
          <cell r="E207" t="str">
            <v>Sinter feed</v>
          </cell>
          <cell r="F207" t="str">
            <v>[t'000]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row>
        <row r="208">
          <cell r="E208" t="str">
            <v>Sinter feed silicoso</v>
          </cell>
          <cell r="F208" t="str">
            <v>[t'000]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row>
        <row r="209">
          <cell r="E209" t="str">
            <v>Pellet feed</v>
          </cell>
          <cell r="F209" t="str">
            <v>[t'000]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E210" t="str">
            <v>Sinter feed blend</v>
          </cell>
          <cell r="F210" t="str">
            <v>[t'000]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row>
        <row r="211">
          <cell r="E211" t="str">
            <v>CONC. FINO</v>
          </cell>
          <cell r="F211" t="str">
            <v>[t'000]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3">
          <cell r="E213" t="str">
            <v>VSB JEC</v>
          </cell>
          <cell r="F213" t="str">
            <v>[t'000]</v>
          </cell>
          <cell r="I213">
            <v>0</v>
          </cell>
          <cell r="J213">
            <v>0</v>
          </cell>
          <cell r="K213">
            <v>0</v>
          </cell>
          <cell r="L213">
            <v>0</v>
          </cell>
          <cell r="M213">
            <v>1260</v>
          </cell>
          <cell r="N213">
            <v>1442.3552490015315</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row>
        <row r="215">
          <cell r="E215" t="str">
            <v>NPO</v>
          </cell>
          <cell r="F215" t="str">
            <v>[t'000]</v>
          </cell>
          <cell r="M215">
            <v>0</v>
          </cell>
          <cell r="N215">
            <v>63.119052409531328</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row>
        <row r="216">
          <cell r="E216" t="str">
            <v>Hematitinha</v>
          </cell>
          <cell r="F216" t="str">
            <v>[t'000]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row>
        <row r="217">
          <cell r="E217" t="str">
            <v>Sinter feed</v>
          </cell>
          <cell r="F217" t="str">
            <v>[t'000]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row>
        <row r="218">
          <cell r="E218" t="str">
            <v>Sinter feed silicoso</v>
          </cell>
          <cell r="F218" t="str">
            <v>[t'000]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row>
        <row r="219">
          <cell r="E219" t="str">
            <v>Pellet feed</v>
          </cell>
          <cell r="F219" t="str">
            <v>[t'000]</v>
          </cell>
          <cell r="M219">
            <v>1260</v>
          </cell>
          <cell r="N219">
            <v>1379.2361965920002</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row>
        <row r="220">
          <cell r="E220" t="str">
            <v>Sinter feed blend</v>
          </cell>
          <cell r="F220" t="str">
            <v>[t'000]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row>
        <row r="221">
          <cell r="E221" t="str">
            <v>CONC. FINO</v>
          </cell>
          <cell r="F221" t="str">
            <v>[t'000]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row>
        <row r="223">
          <cell r="E223" t="str">
            <v>Other Companies</v>
          </cell>
          <cell r="F223" t="str">
            <v>[t'000]</v>
          </cell>
          <cell r="I223">
            <v>3131.9884200000001</v>
          </cell>
          <cell r="J223">
            <v>2717.5171480000004</v>
          </cell>
          <cell r="K223">
            <v>2663.239986</v>
          </cell>
          <cell r="L223">
            <v>2900.8807399999987</v>
          </cell>
          <cell r="M223">
            <v>2813.0531719999994</v>
          </cell>
          <cell r="N223">
            <v>3514.1152123954553</v>
          </cell>
          <cell r="O223">
            <v>3664.6202084079996</v>
          </cell>
          <cell r="P223">
            <v>4977.6513187758992</v>
          </cell>
          <cell r="Q223">
            <v>4977.6513187758992</v>
          </cell>
          <cell r="R223">
            <v>4978.1004037758994</v>
          </cell>
          <cell r="S223">
            <v>4978.1004037758994</v>
          </cell>
          <cell r="T223">
            <v>4978.1004037758994</v>
          </cell>
          <cell r="U223">
            <v>4978.1004037758994</v>
          </cell>
          <cell r="V223">
            <v>4978.1004037758994</v>
          </cell>
          <cell r="W223">
            <v>4978.1004037758994</v>
          </cell>
          <cell r="X223">
            <v>3664.8447509079997</v>
          </cell>
          <cell r="Y223">
            <v>3664.3803168109998</v>
          </cell>
          <cell r="Z223">
            <v>3664.3803168109998</v>
          </cell>
          <cell r="AA223">
            <v>3664.3803168109998</v>
          </cell>
          <cell r="AB223">
            <v>3664.3803168109998</v>
          </cell>
          <cell r="AC223">
            <v>3664.3803168109998</v>
          </cell>
          <cell r="AD223">
            <v>3664.3803168109998</v>
          </cell>
          <cell r="AE223">
            <v>3664.3803168109998</v>
          </cell>
          <cell r="AF223">
            <v>3664.3803168109998</v>
          </cell>
          <cell r="AG223">
            <v>3664.3803168109998</v>
          </cell>
          <cell r="AH223">
            <v>3664.3803168109998</v>
          </cell>
          <cell r="AI223">
            <v>3664.3803168109998</v>
          </cell>
          <cell r="AJ223">
            <v>789.7553738006643</v>
          </cell>
          <cell r="AK223">
            <v>0</v>
          </cell>
          <cell r="AL223">
            <v>0</v>
          </cell>
          <cell r="AM223">
            <v>0</v>
          </cell>
          <cell r="AN223">
            <v>0</v>
          </cell>
          <cell r="AO223">
            <v>0</v>
          </cell>
          <cell r="AP223">
            <v>0</v>
          </cell>
          <cell r="AQ223">
            <v>0</v>
          </cell>
          <cell r="AR223">
            <v>0</v>
          </cell>
          <cell r="AS223">
            <v>0</v>
          </cell>
          <cell r="AT223">
            <v>0</v>
          </cell>
        </row>
        <row r="225">
          <cell r="E225" t="str">
            <v>NPO</v>
          </cell>
          <cell r="F225" t="str">
            <v>[t'000]</v>
          </cell>
          <cell r="I225">
            <v>461.44888999999978</v>
          </cell>
          <cell r="J225">
            <v>251.87576800000011</v>
          </cell>
          <cell r="K225">
            <v>103.55022000000014</v>
          </cell>
          <cell r="L225">
            <v>131.88658000000001</v>
          </cell>
          <cell r="M225">
            <v>173</v>
          </cell>
          <cell r="N225">
            <v>209.77046148745595</v>
          </cell>
          <cell r="O225">
            <v>360.27545750000002</v>
          </cell>
          <cell r="P225">
            <v>720.55091500000003</v>
          </cell>
          <cell r="Q225">
            <v>720.55091500000003</v>
          </cell>
          <cell r="R225">
            <v>721</v>
          </cell>
          <cell r="S225">
            <v>721</v>
          </cell>
          <cell r="T225">
            <v>721</v>
          </cell>
          <cell r="U225">
            <v>721</v>
          </cell>
          <cell r="V225">
            <v>721</v>
          </cell>
          <cell r="W225">
            <v>721</v>
          </cell>
          <cell r="X225">
            <v>360.5</v>
          </cell>
          <cell r="Y225">
            <v>360.5</v>
          </cell>
          <cell r="Z225">
            <v>360.5</v>
          </cell>
          <cell r="AA225">
            <v>360.5</v>
          </cell>
          <cell r="AB225">
            <v>360.5</v>
          </cell>
          <cell r="AC225">
            <v>360.5</v>
          </cell>
          <cell r="AD225">
            <v>360.5</v>
          </cell>
          <cell r="AE225">
            <v>360.5</v>
          </cell>
          <cell r="AF225">
            <v>360.5</v>
          </cell>
          <cell r="AG225">
            <v>360.5</v>
          </cell>
          <cell r="AH225">
            <v>360.5</v>
          </cell>
          <cell r="AI225">
            <v>360.5</v>
          </cell>
          <cell r="AJ225">
            <v>216.87135637736523</v>
          </cell>
          <cell r="AK225">
            <v>0</v>
          </cell>
          <cell r="AL225">
            <v>0</v>
          </cell>
          <cell r="AM225">
            <v>0</v>
          </cell>
          <cell r="AN225">
            <v>0</v>
          </cell>
          <cell r="AO225">
            <v>0</v>
          </cell>
          <cell r="AP225">
            <v>0</v>
          </cell>
          <cell r="AQ225">
            <v>0</v>
          </cell>
          <cell r="AR225">
            <v>0</v>
          </cell>
          <cell r="AS225">
            <v>0</v>
          </cell>
          <cell r="AT225">
            <v>0</v>
          </cell>
        </row>
        <row r="226">
          <cell r="E226" t="str">
            <v>Hematitinha</v>
          </cell>
          <cell r="F226" t="str">
            <v>[t'000]</v>
          </cell>
          <cell r="I226">
            <v>198.32262999999998</v>
          </cell>
          <cell r="J226">
            <v>155.39452</v>
          </cell>
          <cell r="K226">
            <v>80.518840000000012</v>
          </cell>
          <cell r="L226">
            <v>149.12507000000005</v>
          </cell>
          <cell r="M226">
            <v>58.000000000000007</v>
          </cell>
          <cell r="N226">
            <v>209.2912187709</v>
          </cell>
          <cell r="O226">
            <v>209.2912187709</v>
          </cell>
          <cell r="P226">
            <v>418.5824375418</v>
          </cell>
          <cell r="Q226">
            <v>418.5824375418</v>
          </cell>
          <cell r="R226">
            <v>418.5824375418</v>
          </cell>
          <cell r="S226">
            <v>418.5824375418</v>
          </cell>
          <cell r="T226">
            <v>418.5824375418</v>
          </cell>
          <cell r="U226">
            <v>418.5824375418</v>
          </cell>
          <cell r="V226">
            <v>418.5824375418</v>
          </cell>
          <cell r="W226">
            <v>418.5824375418</v>
          </cell>
          <cell r="X226">
            <v>209.2912187709</v>
          </cell>
          <cell r="Y226">
            <v>209.2912187709</v>
          </cell>
          <cell r="Z226">
            <v>209.2912187709</v>
          </cell>
          <cell r="AA226">
            <v>209.2912187709</v>
          </cell>
          <cell r="AB226">
            <v>209.2912187709</v>
          </cell>
          <cell r="AC226">
            <v>209.2912187709</v>
          </cell>
          <cell r="AD226">
            <v>209.2912187709</v>
          </cell>
          <cell r="AE226">
            <v>209.2912187709</v>
          </cell>
          <cell r="AF226">
            <v>209.2912187709</v>
          </cell>
          <cell r="AG226">
            <v>209.2912187709</v>
          </cell>
          <cell r="AH226">
            <v>209.2912187709</v>
          </cell>
          <cell r="AI226">
            <v>209.2912187709</v>
          </cell>
          <cell r="AJ226">
            <v>125.9064368730013</v>
          </cell>
          <cell r="AK226">
            <v>0</v>
          </cell>
          <cell r="AL226">
            <v>0</v>
          </cell>
          <cell r="AM226">
            <v>0</v>
          </cell>
          <cell r="AN226">
            <v>0</v>
          </cell>
          <cell r="AO226">
            <v>0</v>
          </cell>
          <cell r="AP226">
            <v>0</v>
          </cell>
          <cell r="AQ226">
            <v>0</v>
          </cell>
          <cell r="AR226">
            <v>0</v>
          </cell>
          <cell r="AS226">
            <v>0</v>
          </cell>
          <cell r="AT226">
            <v>0</v>
          </cell>
        </row>
        <row r="227">
          <cell r="E227" t="str">
            <v>Sinter feed</v>
          </cell>
          <cell r="F227" t="str">
            <v>[t'000]</v>
          </cell>
          <cell r="I227">
            <v>1522.5605</v>
          </cell>
          <cell r="J227">
            <v>1478.4160500000003</v>
          </cell>
          <cell r="K227">
            <v>1793.3652300000001</v>
          </cell>
          <cell r="L227">
            <v>1809.3689799999986</v>
          </cell>
          <cell r="M227">
            <v>1124</v>
          </cell>
          <cell r="N227">
            <v>1677.2551868821001</v>
          </cell>
          <cell r="O227">
            <v>1677.2551868821001</v>
          </cell>
          <cell r="P227">
            <v>1677.2551868821001</v>
          </cell>
          <cell r="Q227">
            <v>1677.2551868821001</v>
          </cell>
          <cell r="R227">
            <v>1677.2551868821001</v>
          </cell>
          <cell r="S227">
            <v>1677.2551868821001</v>
          </cell>
          <cell r="T227">
            <v>1677.2551868821001</v>
          </cell>
          <cell r="U227">
            <v>1677.2551868821001</v>
          </cell>
          <cell r="V227">
            <v>1677.2551868821001</v>
          </cell>
          <cell r="W227">
            <v>1677.2551868821001</v>
          </cell>
          <cell r="X227">
            <v>1677.2551868821001</v>
          </cell>
          <cell r="Y227">
            <v>1677.2551868821001</v>
          </cell>
          <cell r="Z227">
            <v>1677.2551868821001</v>
          </cell>
          <cell r="AA227">
            <v>1677.2551868821001</v>
          </cell>
          <cell r="AB227">
            <v>1677.2551868821001</v>
          </cell>
          <cell r="AC227">
            <v>1677.2551868821001</v>
          </cell>
          <cell r="AD227">
            <v>1677.2551868821001</v>
          </cell>
          <cell r="AE227">
            <v>1677.2551868821001</v>
          </cell>
          <cell r="AF227">
            <v>1677.2551868821001</v>
          </cell>
          <cell r="AG227">
            <v>1677.2551868821001</v>
          </cell>
          <cell r="AH227">
            <v>1677.2551868821001</v>
          </cell>
          <cell r="AI227">
            <v>1677.2551868821001</v>
          </cell>
          <cell r="AJ227">
            <v>0</v>
          </cell>
          <cell r="AK227">
            <v>0</v>
          </cell>
          <cell r="AL227">
            <v>0</v>
          </cell>
          <cell r="AM227">
            <v>0</v>
          </cell>
          <cell r="AN227">
            <v>0</v>
          </cell>
          <cell r="AO227">
            <v>0</v>
          </cell>
          <cell r="AP227">
            <v>0</v>
          </cell>
          <cell r="AQ227">
            <v>0</v>
          </cell>
          <cell r="AR227">
            <v>0</v>
          </cell>
          <cell r="AS227">
            <v>0</v>
          </cell>
          <cell r="AT227">
            <v>0</v>
          </cell>
        </row>
        <row r="228">
          <cell r="E228" t="str">
            <v>Sinter feed silicoso</v>
          </cell>
          <cell r="F228" t="str">
            <v>[t'000]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row>
        <row r="229">
          <cell r="E229" t="str">
            <v>Pellet feed</v>
          </cell>
          <cell r="F229" t="str">
            <v>[t'000]</v>
          </cell>
          <cell r="I229">
            <v>166.37301000000002</v>
          </cell>
          <cell r="J229">
            <v>0</v>
          </cell>
          <cell r="K229">
            <v>0</v>
          </cell>
          <cell r="L229">
            <v>0</v>
          </cell>
          <cell r="M229">
            <v>450</v>
          </cell>
          <cell r="N229">
            <v>674.33391115799964</v>
          </cell>
          <cell r="O229">
            <v>674.33391115799964</v>
          </cell>
          <cell r="P229">
            <v>674.33391115799964</v>
          </cell>
          <cell r="Q229">
            <v>674.33391115799964</v>
          </cell>
          <cell r="R229">
            <v>674.33391115799964</v>
          </cell>
          <cell r="S229">
            <v>674.33391115799964</v>
          </cell>
          <cell r="T229">
            <v>674.33391115799964</v>
          </cell>
          <cell r="U229">
            <v>674.33391115799964</v>
          </cell>
          <cell r="V229">
            <v>674.33391115799964</v>
          </cell>
          <cell r="W229">
            <v>674.33391115799964</v>
          </cell>
          <cell r="X229">
            <v>674.33391115799964</v>
          </cell>
          <cell r="Y229">
            <v>674.33391115799964</v>
          </cell>
          <cell r="Z229">
            <v>674.33391115799964</v>
          </cell>
          <cell r="AA229">
            <v>674.33391115799964</v>
          </cell>
          <cell r="AB229">
            <v>674.33391115799964</v>
          </cell>
          <cell r="AC229">
            <v>674.33391115799964</v>
          </cell>
          <cell r="AD229">
            <v>674.33391115799964</v>
          </cell>
          <cell r="AE229">
            <v>674.33391115799964</v>
          </cell>
          <cell r="AF229">
            <v>674.33391115799964</v>
          </cell>
          <cell r="AG229">
            <v>674.33391115799964</v>
          </cell>
          <cell r="AH229">
            <v>674.33391115799964</v>
          </cell>
          <cell r="AI229">
            <v>674.33391115799964</v>
          </cell>
          <cell r="AJ229">
            <v>0</v>
          </cell>
          <cell r="AK229">
            <v>0</v>
          </cell>
          <cell r="AL229">
            <v>0</v>
          </cell>
          <cell r="AM229">
            <v>0</v>
          </cell>
          <cell r="AN229">
            <v>0</v>
          </cell>
          <cell r="AO229">
            <v>0</v>
          </cell>
          <cell r="AP229">
            <v>0</v>
          </cell>
          <cell r="AQ229">
            <v>0</v>
          </cell>
          <cell r="AR229">
            <v>0</v>
          </cell>
          <cell r="AS229">
            <v>0</v>
          </cell>
          <cell r="AT229">
            <v>0</v>
          </cell>
        </row>
        <row r="230">
          <cell r="E230" t="str">
            <v>Sinter feed blend</v>
          </cell>
          <cell r="F230" t="str">
            <v>[t'000]</v>
          </cell>
          <cell r="I230">
            <v>368.30646999999982</v>
          </cell>
          <cell r="J230">
            <v>770.47268999999994</v>
          </cell>
          <cell r="K230">
            <v>685.8056959999999</v>
          </cell>
          <cell r="L230">
            <v>810.50010999999995</v>
          </cell>
          <cell r="M230">
            <v>1008.0531719999996</v>
          </cell>
          <cell r="N230">
            <v>743.46443409700009</v>
          </cell>
          <cell r="O230">
            <v>743.46443409700009</v>
          </cell>
          <cell r="P230">
            <v>1486.9288681940002</v>
          </cell>
          <cell r="Q230">
            <v>1486.9288681940002</v>
          </cell>
          <cell r="R230">
            <v>1486.9288681940002</v>
          </cell>
          <cell r="S230">
            <v>1486.9288681940002</v>
          </cell>
          <cell r="T230">
            <v>1486.9288681940002</v>
          </cell>
          <cell r="U230">
            <v>1486.9288681940002</v>
          </cell>
          <cell r="V230">
            <v>1486.9288681940002</v>
          </cell>
          <cell r="W230">
            <v>1486.9288681940002</v>
          </cell>
          <cell r="X230">
            <v>743.46443409699998</v>
          </cell>
          <cell r="Y230">
            <v>743</v>
          </cell>
          <cell r="Z230">
            <v>743</v>
          </cell>
          <cell r="AA230">
            <v>743</v>
          </cell>
          <cell r="AB230">
            <v>743</v>
          </cell>
          <cell r="AC230">
            <v>743</v>
          </cell>
          <cell r="AD230">
            <v>743</v>
          </cell>
          <cell r="AE230">
            <v>743</v>
          </cell>
          <cell r="AF230">
            <v>743</v>
          </cell>
          <cell r="AG230">
            <v>743</v>
          </cell>
          <cell r="AH230">
            <v>743</v>
          </cell>
          <cell r="AI230">
            <v>743</v>
          </cell>
          <cell r="AJ230">
            <v>446.97758055029783</v>
          </cell>
          <cell r="AK230">
            <v>0</v>
          </cell>
          <cell r="AL230">
            <v>0</v>
          </cell>
          <cell r="AM230">
            <v>0</v>
          </cell>
          <cell r="AN230">
            <v>0</v>
          </cell>
          <cell r="AO230">
            <v>0</v>
          </cell>
          <cell r="AP230">
            <v>0</v>
          </cell>
          <cell r="AQ230">
            <v>0</v>
          </cell>
          <cell r="AR230">
            <v>0</v>
          </cell>
          <cell r="AS230">
            <v>0</v>
          </cell>
          <cell r="AT230">
            <v>0</v>
          </cell>
        </row>
        <row r="231">
          <cell r="E231" t="str">
            <v>CONC. FINO</v>
          </cell>
          <cell r="F231" t="str">
            <v>[t'000]</v>
          </cell>
          <cell r="I231">
            <v>414.97692000000006</v>
          </cell>
          <cell r="J231">
            <v>61.35812</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row>
        <row r="234">
          <cell r="E234" t="str">
            <v>Client A</v>
          </cell>
          <cell r="F234" t="str">
            <v>[t'000]</v>
          </cell>
          <cell r="M234">
            <v>230</v>
          </cell>
          <cell r="N234">
            <v>787.17644951462796</v>
          </cell>
          <cell r="O234">
            <v>787.17644951462796</v>
          </cell>
          <cell r="P234">
            <v>996.46766828552802</v>
          </cell>
          <cell r="Q234">
            <v>996.46766828552802</v>
          </cell>
          <cell r="R234">
            <v>996.46766828552802</v>
          </cell>
          <cell r="S234">
            <v>996.46766828552802</v>
          </cell>
          <cell r="T234">
            <v>996.46766828552802</v>
          </cell>
          <cell r="U234">
            <v>996.46766828552802</v>
          </cell>
          <cell r="V234">
            <v>996.46766828552802</v>
          </cell>
          <cell r="W234">
            <v>996.46766828552802</v>
          </cell>
          <cell r="X234">
            <v>787.17644951462796</v>
          </cell>
          <cell r="Y234">
            <v>787.17644951462796</v>
          </cell>
          <cell r="Z234">
            <v>787.17644951462796</v>
          </cell>
          <cell r="AA234">
            <v>787.17644951462796</v>
          </cell>
          <cell r="AB234">
            <v>787.17644951462796</v>
          </cell>
          <cell r="AC234">
            <v>787.17644951462796</v>
          </cell>
          <cell r="AD234">
            <v>787.17644951462796</v>
          </cell>
          <cell r="AE234">
            <v>787.17644951462796</v>
          </cell>
          <cell r="AF234">
            <v>787.17644951462796</v>
          </cell>
          <cell r="AG234">
            <v>787.17644951462796</v>
          </cell>
          <cell r="AH234">
            <v>787.17644951462796</v>
          </cell>
          <cell r="AI234">
            <v>787.17644951462796</v>
          </cell>
          <cell r="AJ234">
            <v>125.9064368730013</v>
          </cell>
          <cell r="AK234">
            <v>0</v>
          </cell>
          <cell r="AL234">
            <v>0</v>
          </cell>
          <cell r="AM234">
            <v>0</v>
          </cell>
          <cell r="AN234">
            <v>0</v>
          </cell>
          <cell r="AO234">
            <v>0</v>
          </cell>
          <cell r="AP234">
            <v>0</v>
          </cell>
          <cell r="AQ234">
            <v>0</v>
          </cell>
          <cell r="AR234">
            <v>0</v>
          </cell>
          <cell r="AS234">
            <v>0</v>
          </cell>
          <cell r="AT234">
            <v>0</v>
          </cell>
        </row>
        <row r="236">
          <cell r="E236" t="str">
            <v>NPO</v>
          </cell>
          <cell r="F236" t="str">
            <v>[t'000]</v>
          </cell>
          <cell r="M236">
            <v>108</v>
          </cell>
          <cell r="N236">
            <v>104.88523074372797</v>
          </cell>
          <cell r="O236">
            <v>104.88523074372797</v>
          </cell>
          <cell r="P236">
            <v>104.88523074372797</v>
          </cell>
          <cell r="Q236">
            <v>104.88523074372797</v>
          </cell>
          <cell r="R236">
            <v>104.88523074372797</v>
          </cell>
          <cell r="S236">
            <v>104.88523074372797</v>
          </cell>
          <cell r="T236">
            <v>104.88523074372797</v>
          </cell>
          <cell r="U236">
            <v>104.88523074372797</v>
          </cell>
          <cell r="V236">
            <v>104.88523074372797</v>
          </cell>
          <cell r="W236">
            <v>104.88523074372797</v>
          </cell>
          <cell r="X236">
            <v>104.88523074372797</v>
          </cell>
          <cell r="Y236">
            <v>104.88523074372797</v>
          </cell>
          <cell r="Z236">
            <v>104.88523074372797</v>
          </cell>
          <cell r="AA236">
            <v>104.88523074372797</v>
          </cell>
          <cell r="AB236">
            <v>104.88523074372797</v>
          </cell>
          <cell r="AC236">
            <v>104.88523074372797</v>
          </cell>
          <cell r="AD236">
            <v>104.88523074372797</v>
          </cell>
          <cell r="AE236">
            <v>104.88523074372797</v>
          </cell>
          <cell r="AF236">
            <v>104.88523074372797</v>
          </cell>
          <cell r="AG236">
            <v>104.88523074372797</v>
          </cell>
          <cell r="AH236">
            <v>104.88523074372797</v>
          </cell>
          <cell r="AI236">
            <v>104.88523074372797</v>
          </cell>
          <cell r="AJ236">
            <v>0</v>
          </cell>
          <cell r="AK236">
            <v>0</v>
          </cell>
          <cell r="AL236">
            <v>0</v>
          </cell>
          <cell r="AM236">
            <v>0</v>
          </cell>
          <cell r="AN236">
            <v>0</v>
          </cell>
          <cell r="AO236">
            <v>0</v>
          </cell>
          <cell r="AP236">
            <v>0</v>
          </cell>
          <cell r="AQ236">
            <v>0</v>
          </cell>
          <cell r="AR236">
            <v>0</v>
          </cell>
          <cell r="AS236">
            <v>0</v>
          </cell>
          <cell r="AT236">
            <v>0</v>
          </cell>
        </row>
        <row r="237">
          <cell r="E237" t="str">
            <v>Hematitinha</v>
          </cell>
          <cell r="F237" t="str">
            <v>[t'000]</v>
          </cell>
          <cell r="M237">
            <v>58.000000000000007</v>
          </cell>
          <cell r="N237">
            <v>209.2912187709</v>
          </cell>
          <cell r="O237">
            <v>209.2912187709</v>
          </cell>
          <cell r="P237">
            <v>418.5824375418</v>
          </cell>
          <cell r="Q237">
            <v>418.5824375418</v>
          </cell>
          <cell r="R237">
            <v>418.5824375418</v>
          </cell>
          <cell r="S237">
            <v>418.5824375418</v>
          </cell>
          <cell r="T237">
            <v>418.5824375418</v>
          </cell>
          <cell r="U237">
            <v>418.5824375418</v>
          </cell>
          <cell r="V237">
            <v>418.5824375418</v>
          </cell>
          <cell r="W237">
            <v>418.5824375418</v>
          </cell>
          <cell r="X237">
            <v>209.2912187709</v>
          </cell>
          <cell r="Y237">
            <v>209.2912187709</v>
          </cell>
          <cell r="Z237">
            <v>209.2912187709</v>
          </cell>
          <cell r="AA237">
            <v>209.2912187709</v>
          </cell>
          <cell r="AB237">
            <v>209.2912187709</v>
          </cell>
          <cell r="AC237">
            <v>209.2912187709</v>
          </cell>
          <cell r="AD237">
            <v>209.2912187709</v>
          </cell>
          <cell r="AE237">
            <v>209.2912187709</v>
          </cell>
          <cell r="AF237">
            <v>209.2912187709</v>
          </cell>
          <cell r="AG237">
            <v>209.2912187709</v>
          </cell>
          <cell r="AH237">
            <v>209.2912187709</v>
          </cell>
          <cell r="AI237">
            <v>209.2912187709</v>
          </cell>
          <cell r="AJ237">
            <v>125.9064368730013</v>
          </cell>
          <cell r="AK237">
            <v>0</v>
          </cell>
          <cell r="AL237">
            <v>0</v>
          </cell>
          <cell r="AM237">
            <v>0</v>
          </cell>
          <cell r="AN237">
            <v>0</v>
          </cell>
          <cell r="AO237">
            <v>0</v>
          </cell>
          <cell r="AP237">
            <v>0</v>
          </cell>
          <cell r="AQ237">
            <v>0</v>
          </cell>
          <cell r="AR237">
            <v>0</v>
          </cell>
          <cell r="AS237">
            <v>0</v>
          </cell>
          <cell r="AT237">
            <v>0</v>
          </cell>
        </row>
        <row r="238">
          <cell r="E238" t="str">
            <v>Sinter feed</v>
          </cell>
          <cell r="F238" t="str">
            <v>[t'000]</v>
          </cell>
          <cell r="M238">
            <v>63.999999999999986</v>
          </cell>
          <cell r="N238">
            <v>473</v>
          </cell>
          <cell r="O238">
            <v>473</v>
          </cell>
          <cell r="P238">
            <v>473</v>
          </cell>
          <cell r="Q238">
            <v>473</v>
          </cell>
          <cell r="R238">
            <v>473</v>
          </cell>
          <cell r="S238">
            <v>473</v>
          </cell>
          <cell r="T238">
            <v>473</v>
          </cell>
          <cell r="U238">
            <v>473</v>
          </cell>
          <cell r="V238">
            <v>473</v>
          </cell>
          <cell r="W238">
            <v>473</v>
          </cell>
          <cell r="X238">
            <v>473</v>
          </cell>
          <cell r="Y238">
            <v>473</v>
          </cell>
          <cell r="Z238">
            <v>473</v>
          </cell>
          <cell r="AA238">
            <v>473</v>
          </cell>
          <cell r="AB238">
            <v>473</v>
          </cell>
          <cell r="AC238">
            <v>473</v>
          </cell>
          <cell r="AD238">
            <v>473</v>
          </cell>
          <cell r="AE238">
            <v>473</v>
          </cell>
          <cell r="AF238">
            <v>473</v>
          </cell>
          <cell r="AG238">
            <v>473</v>
          </cell>
          <cell r="AH238">
            <v>473</v>
          </cell>
          <cell r="AI238">
            <v>473</v>
          </cell>
          <cell r="AJ238">
            <v>0</v>
          </cell>
          <cell r="AK238">
            <v>0</v>
          </cell>
          <cell r="AL238">
            <v>0</v>
          </cell>
          <cell r="AM238">
            <v>0</v>
          </cell>
          <cell r="AN238">
            <v>0</v>
          </cell>
          <cell r="AO238">
            <v>0</v>
          </cell>
          <cell r="AP238">
            <v>0</v>
          </cell>
          <cell r="AQ238">
            <v>0</v>
          </cell>
          <cell r="AR238">
            <v>0</v>
          </cell>
          <cell r="AS238">
            <v>0</v>
          </cell>
          <cell r="AT238">
            <v>0</v>
          </cell>
        </row>
        <row r="239">
          <cell r="E239" t="str">
            <v>Sinter feed silicoso</v>
          </cell>
          <cell r="F239" t="str">
            <v>[t'000]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row>
        <row r="240">
          <cell r="E240" t="str">
            <v>Pellet feed</v>
          </cell>
          <cell r="F240" t="str">
            <v>[t'000]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row>
        <row r="241">
          <cell r="E241" t="str">
            <v>Sinter feed blend</v>
          </cell>
          <cell r="F241" t="str">
            <v>[t'000]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row>
        <row r="242">
          <cell r="E242" t="str">
            <v>CONC. FINO</v>
          </cell>
          <cell r="F242" t="str">
            <v>[t'000]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row>
        <row r="244">
          <cell r="E244" t="str">
            <v>Client B</v>
          </cell>
          <cell r="F244" t="str">
            <v>[t'000]</v>
          </cell>
          <cell r="M244">
            <v>1073.0531719999994</v>
          </cell>
          <cell r="N244">
            <v>848.34966484072811</v>
          </cell>
          <cell r="O244">
            <v>998.85466085327221</v>
          </cell>
          <cell r="P244">
            <v>2102.5945524502722</v>
          </cell>
          <cell r="Q244">
            <v>2102.5945524502722</v>
          </cell>
          <cell r="R244">
            <v>2103.0436374502724</v>
          </cell>
          <cell r="S244">
            <v>2103.0436374502724</v>
          </cell>
          <cell r="T244">
            <v>2103.0436374502724</v>
          </cell>
          <cell r="U244">
            <v>2103.0436374502724</v>
          </cell>
          <cell r="V244">
            <v>2103.0436374502724</v>
          </cell>
          <cell r="W244">
            <v>2103.0436374502724</v>
          </cell>
          <cell r="X244">
            <v>999.07920335327208</v>
          </cell>
          <cell r="Y244">
            <v>998.61476925627198</v>
          </cell>
          <cell r="Z244">
            <v>998.61476925627198</v>
          </cell>
          <cell r="AA244">
            <v>998.61476925627198</v>
          </cell>
          <cell r="AB244">
            <v>998.61476925627198</v>
          </cell>
          <cell r="AC244">
            <v>998.61476925627198</v>
          </cell>
          <cell r="AD244">
            <v>998.61476925627198</v>
          </cell>
          <cell r="AE244">
            <v>998.61476925627198</v>
          </cell>
          <cell r="AF244">
            <v>998.61476925627198</v>
          </cell>
          <cell r="AG244">
            <v>998.61476925627198</v>
          </cell>
          <cell r="AH244">
            <v>998.61476925627198</v>
          </cell>
          <cell r="AI244">
            <v>998.61476925627198</v>
          </cell>
          <cell r="AJ244">
            <v>663.84893692766309</v>
          </cell>
          <cell r="AK244">
            <v>0</v>
          </cell>
          <cell r="AL244">
            <v>0</v>
          </cell>
          <cell r="AM244">
            <v>0</v>
          </cell>
          <cell r="AN244">
            <v>0</v>
          </cell>
          <cell r="AO244">
            <v>0</v>
          </cell>
          <cell r="AP244">
            <v>0</v>
          </cell>
          <cell r="AQ244">
            <v>0</v>
          </cell>
          <cell r="AR244">
            <v>0</v>
          </cell>
          <cell r="AS244">
            <v>0</v>
          </cell>
          <cell r="AT244">
            <v>0</v>
          </cell>
        </row>
        <row r="246">
          <cell r="E246" t="str">
            <v>NPO</v>
          </cell>
          <cell r="F246" t="str">
            <v>[t'000]</v>
          </cell>
          <cell r="M246">
            <v>65</v>
          </cell>
          <cell r="N246">
            <v>104.88523074372797</v>
          </cell>
          <cell r="O246">
            <v>255.39022675627206</v>
          </cell>
          <cell r="P246">
            <v>615.66568425627202</v>
          </cell>
          <cell r="Q246">
            <v>615.66568425627202</v>
          </cell>
          <cell r="R246">
            <v>616.11476925627198</v>
          </cell>
          <cell r="S246">
            <v>616.11476925627198</v>
          </cell>
          <cell r="T246">
            <v>616.11476925627198</v>
          </cell>
          <cell r="U246">
            <v>616.11476925627198</v>
          </cell>
          <cell r="V246">
            <v>616.11476925627198</v>
          </cell>
          <cell r="W246">
            <v>616.11476925627198</v>
          </cell>
          <cell r="X246">
            <v>255.61476925627204</v>
          </cell>
          <cell r="Y246">
            <v>255.61476925627204</v>
          </cell>
          <cell r="Z246">
            <v>255.61476925627204</v>
          </cell>
          <cell r="AA246">
            <v>255.61476925627204</v>
          </cell>
          <cell r="AB246">
            <v>255.61476925627204</v>
          </cell>
          <cell r="AC246">
            <v>255.61476925627204</v>
          </cell>
          <cell r="AD246">
            <v>255.61476925627204</v>
          </cell>
          <cell r="AE246">
            <v>255.61476925627204</v>
          </cell>
          <cell r="AF246">
            <v>255.61476925627204</v>
          </cell>
          <cell r="AG246">
            <v>255.61476925627204</v>
          </cell>
          <cell r="AH246">
            <v>255.61476925627204</v>
          </cell>
          <cell r="AI246">
            <v>255.61476925627204</v>
          </cell>
          <cell r="AJ246">
            <v>216.87135637736523</v>
          </cell>
          <cell r="AK246">
            <v>0</v>
          </cell>
          <cell r="AL246">
            <v>0</v>
          </cell>
          <cell r="AM246">
            <v>0</v>
          </cell>
          <cell r="AN246">
            <v>0</v>
          </cell>
          <cell r="AO246">
            <v>0</v>
          </cell>
          <cell r="AP246">
            <v>0</v>
          </cell>
          <cell r="AQ246">
            <v>0</v>
          </cell>
          <cell r="AR246">
            <v>0</v>
          </cell>
          <cell r="AS246">
            <v>0</v>
          </cell>
          <cell r="AT246">
            <v>0</v>
          </cell>
        </row>
        <row r="247">
          <cell r="E247" t="str">
            <v>Hematitinha</v>
          </cell>
          <cell r="F247" t="str">
            <v>[t'000]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row>
        <row r="248">
          <cell r="E248" t="str">
            <v>Sinter feed</v>
          </cell>
          <cell r="F248" t="str">
            <v>[t'000]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row>
        <row r="249">
          <cell r="E249" t="str">
            <v>Sinter feed silicoso</v>
          </cell>
          <cell r="F249" t="str">
            <v>[t'000]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row>
        <row r="250">
          <cell r="E250" t="str">
            <v>Pellet feed</v>
          </cell>
          <cell r="F250" t="str">
            <v>[t'000]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row>
        <row r="251">
          <cell r="E251" t="str">
            <v>Sinter feed blend</v>
          </cell>
          <cell r="F251" t="str">
            <v>[t'000]</v>
          </cell>
          <cell r="M251">
            <v>1008.0531719999996</v>
          </cell>
          <cell r="N251">
            <v>743.46443409700009</v>
          </cell>
          <cell r="O251">
            <v>743.46443409700009</v>
          </cell>
          <cell r="P251">
            <v>1486.9288681940002</v>
          </cell>
          <cell r="Q251">
            <v>1486.9288681940002</v>
          </cell>
          <cell r="R251">
            <v>1486.9288681940002</v>
          </cell>
          <cell r="S251">
            <v>1486.9288681940002</v>
          </cell>
          <cell r="T251">
            <v>1486.9288681940002</v>
          </cell>
          <cell r="U251">
            <v>1486.9288681940002</v>
          </cell>
          <cell r="V251">
            <v>1486.9288681940002</v>
          </cell>
          <cell r="W251">
            <v>1486.9288681940002</v>
          </cell>
          <cell r="X251">
            <v>743.46443409699998</v>
          </cell>
          <cell r="Y251">
            <v>743</v>
          </cell>
          <cell r="Z251">
            <v>743</v>
          </cell>
          <cell r="AA251">
            <v>743</v>
          </cell>
          <cell r="AB251">
            <v>743</v>
          </cell>
          <cell r="AC251">
            <v>743</v>
          </cell>
          <cell r="AD251">
            <v>743</v>
          </cell>
          <cell r="AE251">
            <v>743</v>
          </cell>
          <cell r="AF251">
            <v>743</v>
          </cell>
          <cell r="AG251">
            <v>743</v>
          </cell>
          <cell r="AH251">
            <v>743</v>
          </cell>
          <cell r="AI251">
            <v>743</v>
          </cell>
          <cell r="AJ251">
            <v>446.97758055029783</v>
          </cell>
          <cell r="AK251">
            <v>0</v>
          </cell>
          <cell r="AL251">
            <v>0</v>
          </cell>
          <cell r="AM251">
            <v>0</v>
          </cell>
          <cell r="AN251">
            <v>0</v>
          </cell>
          <cell r="AO251">
            <v>0</v>
          </cell>
          <cell r="AP251">
            <v>0</v>
          </cell>
          <cell r="AQ251">
            <v>0</v>
          </cell>
          <cell r="AR251">
            <v>0</v>
          </cell>
          <cell r="AS251">
            <v>0</v>
          </cell>
          <cell r="AT251">
            <v>0</v>
          </cell>
        </row>
        <row r="252">
          <cell r="E252" t="str">
            <v>CONC. FINO</v>
          </cell>
          <cell r="F252" t="str">
            <v>[t'000]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row>
        <row r="254">
          <cell r="E254" t="str">
            <v>Client C</v>
          </cell>
          <cell r="F254" t="str">
            <v>[t'000]</v>
          </cell>
          <cell r="M254">
            <v>1510</v>
          </cell>
          <cell r="N254">
            <v>1878.5890980400998</v>
          </cell>
          <cell r="O254">
            <v>1878.5890980400998</v>
          </cell>
          <cell r="P254">
            <v>1878.5890980400998</v>
          </cell>
          <cell r="Q254">
            <v>1878.5890980400998</v>
          </cell>
          <cell r="R254">
            <v>1878.5890980400998</v>
          </cell>
          <cell r="S254">
            <v>1878.5890980400998</v>
          </cell>
          <cell r="T254">
            <v>1878.5890980400998</v>
          </cell>
          <cell r="U254">
            <v>1878.5890980400998</v>
          </cell>
          <cell r="V254">
            <v>1878.5890980400998</v>
          </cell>
          <cell r="W254">
            <v>1878.5890980400998</v>
          </cell>
          <cell r="X254">
            <v>1878.5890980400998</v>
          </cell>
          <cell r="Y254">
            <v>1878.5890980400998</v>
          </cell>
          <cell r="Z254">
            <v>1878.5890980400998</v>
          </cell>
          <cell r="AA254">
            <v>1878.5890980400998</v>
          </cell>
          <cell r="AB254">
            <v>1878.5890980400998</v>
          </cell>
          <cell r="AC254">
            <v>1878.5890980400998</v>
          </cell>
          <cell r="AD254">
            <v>1878.5890980400998</v>
          </cell>
          <cell r="AE254">
            <v>1878.5890980400998</v>
          </cell>
          <cell r="AF254">
            <v>1878.5890980400998</v>
          </cell>
          <cell r="AG254">
            <v>1878.5890980400998</v>
          </cell>
          <cell r="AH254">
            <v>1878.5890980400998</v>
          </cell>
          <cell r="AI254">
            <v>1878.5890980400998</v>
          </cell>
          <cell r="AJ254">
            <v>0</v>
          </cell>
          <cell r="AK254">
            <v>0</v>
          </cell>
          <cell r="AL254">
            <v>0</v>
          </cell>
          <cell r="AM254">
            <v>0</v>
          </cell>
          <cell r="AN254">
            <v>0</v>
          </cell>
          <cell r="AO254">
            <v>0</v>
          </cell>
          <cell r="AP254">
            <v>0</v>
          </cell>
          <cell r="AQ254">
            <v>0</v>
          </cell>
          <cell r="AR254">
            <v>0</v>
          </cell>
          <cell r="AS254">
            <v>0</v>
          </cell>
          <cell r="AT254">
            <v>0</v>
          </cell>
        </row>
        <row r="256">
          <cell r="E256" t="str">
            <v>NPO</v>
          </cell>
          <cell r="F256" t="str">
            <v>[t'000]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row>
        <row r="257">
          <cell r="E257" t="str">
            <v>Hematitinha</v>
          </cell>
          <cell r="F257" t="str">
            <v>[t'000]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row>
        <row r="258">
          <cell r="E258" t="str">
            <v>Sinter feed</v>
          </cell>
          <cell r="F258" t="str">
            <v>[t'000]</v>
          </cell>
          <cell r="M258">
            <v>1060</v>
          </cell>
          <cell r="N258">
            <v>1204.2551868821001</v>
          </cell>
          <cell r="O258">
            <v>1204.2551868821001</v>
          </cell>
          <cell r="P258">
            <v>1204.2551868821001</v>
          </cell>
          <cell r="Q258">
            <v>1204.2551868821001</v>
          </cell>
          <cell r="R258">
            <v>1204.2551868821001</v>
          </cell>
          <cell r="S258">
            <v>1204.2551868821001</v>
          </cell>
          <cell r="T258">
            <v>1204.2551868821001</v>
          </cell>
          <cell r="U258">
            <v>1204.2551868821001</v>
          </cell>
          <cell r="V258">
            <v>1204.2551868821001</v>
          </cell>
          <cell r="W258">
            <v>1204.2551868821001</v>
          </cell>
          <cell r="X258">
            <v>1204.2551868821001</v>
          </cell>
          <cell r="Y258">
            <v>1204.2551868821001</v>
          </cell>
          <cell r="Z258">
            <v>1204.2551868821001</v>
          </cell>
          <cell r="AA258">
            <v>1204.2551868821001</v>
          </cell>
          <cell r="AB258">
            <v>1204.2551868821001</v>
          </cell>
          <cell r="AC258">
            <v>1204.2551868821001</v>
          </cell>
          <cell r="AD258">
            <v>1204.2551868821001</v>
          </cell>
          <cell r="AE258">
            <v>1204.2551868821001</v>
          </cell>
          <cell r="AF258">
            <v>1204.2551868821001</v>
          </cell>
          <cell r="AG258">
            <v>1204.2551868821001</v>
          </cell>
          <cell r="AH258">
            <v>1204.2551868821001</v>
          </cell>
          <cell r="AI258">
            <v>1204.2551868821001</v>
          </cell>
          <cell r="AJ258">
            <v>0</v>
          </cell>
          <cell r="AK258">
            <v>0</v>
          </cell>
          <cell r="AL258">
            <v>0</v>
          </cell>
          <cell r="AM258">
            <v>0</v>
          </cell>
          <cell r="AN258">
            <v>0</v>
          </cell>
          <cell r="AO258">
            <v>0</v>
          </cell>
          <cell r="AP258">
            <v>0</v>
          </cell>
          <cell r="AQ258">
            <v>0</v>
          </cell>
          <cell r="AR258">
            <v>0</v>
          </cell>
          <cell r="AS258">
            <v>0</v>
          </cell>
          <cell r="AT258">
            <v>0</v>
          </cell>
        </row>
        <row r="259">
          <cell r="E259" t="str">
            <v>Sinter feed silicoso</v>
          </cell>
          <cell r="F259" t="str">
            <v>[t'000]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row>
        <row r="260">
          <cell r="E260" t="str">
            <v>Pellet feed</v>
          </cell>
          <cell r="F260" t="str">
            <v>[t'000]</v>
          </cell>
          <cell r="M260">
            <v>450</v>
          </cell>
          <cell r="N260">
            <v>674.33391115799964</v>
          </cell>
          <cell r="O260">
            <v>674.33391115799964</v>
          </cell>
          <cell r="P260">
            <v>674.33391115799964</v>
          </cell>
          <cell r="Q260">
            <v>674.33391115799964</v>
          </cell>
          <cell r="R260">
            <v>674.33391115799964</v>
          </cell>
          <cell r="S260">
            <v>674.33391115799964</v>
          </cell>
          <cell r="T260">
            <v>674.33391115799964</v>
          </cell>
          <cell r="U260">
            <v>674.33391115799964</v>
          </cell>
          <cell r="V260">
            <v>674.33391115799964</v>
          </cell>
          <cell r="W260">
            <v>674.33391115799964</v>
          </cell>
          <cell r="X260">
            <v>674.33391115799964</v>
          </cell>
          <cell r="Y260">
            <v>674.33391115799964</v>
          </cell>
          <cell r="Z260">
            <v>674.33391115799964</v>
          </cell>
          <cell r="AA260">
            <v>674.33391115799964</v>
          </cell>
          <cell r="AB260">
            <v>674.33391115799964</v>
          </cell>
          <cell r="AC260">
            <v>674.33391115799964</v>
          </cell>
          <cell r="AD260">
            <v>674.33391115799964</v>
          </cell>
          <cell r="AE260">
            <v>674.33391115799964</v>
          </cell>
          <cell r="AF260">
            <v>674.33391115799964</v>
          </cell>
          <cell r="AG260">
            <v>674.33391115799964</v>
          </cell>
          <cell r="AH260">
            <v>674.33391115799964</v>
          </cell>
          <cell r="AI260">
            <v>674.33391115799964</v>
          </cell>
          <cell r="AJ260">
            <v>0</v>
          </cell>
          <cell r="AK260">
            <v>0</v>
          </cell>
          <cell r="AL260">
            <v>0</v>
          </cell>
          <cell r="AM260">
            <v>0</v>
          </cell>
          <cell r="AN260">
            <v>0</v>
          </cell>
          <cell r="AO260">
            <v>0</v>
          </cell>
          <cell r="AP260">
            <v>0</v>
          </cell>
          <cell r="AQ260">
            <v>0</v>
          </cell>
          <cell r="AR260">
            <v>0</v>
          </cell>
          <cell r="AS260">
            <v>0</v>
          </cell>
          <cell r="AT260">
            <v>0</v>
          </cell>
        </row>
        <row r="261">
          <cell r="E261" t="str">
            <v>Sinter feed blend</v>
          </cell>
          <cell r="F261" t="str">
            <v>[t'000]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row>
        <row r="262">
          <cell r="E262" t="str">
            <v>CONC. FINO</v>
          </cell>
          <cell r="F262" t="str">
            <v>[t'000]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row>
        <row r="265">
          <cell r="E265" t="str">
            <v>Price</v>
          </cell>
          <cell r="I265">
            <v>2013</v>
          </cell>
          <cell r="J265">
            <v>2014</v>
          </cell>
          <cell r="K265">
            <v>2015</v>
          </cell>
          <cell r="L265">
            <v>2016</v>
          </cell>
          <cell r="M265">
            <v>2017</v>
          </cell>
          <cell r="N265">
            <v>2018</v>
          </cell>
          <cell r="O265">
            <v>2019</v>
          </cell>
          <cell r="P265">
            <v>2020</v>
          </cell>
          <cell r="Q265">
            <v>2021</v>
          </cell>
          <cell r="R265">
            <v>2022</v>
          </cell>
          <cell r="S265">
            <v>2023</v>
          </cell>
          <cell r="T265">
            <v>2024</v>
          </cell>
          <cell r="U265">
            <v>2025</v>
          </cell>
          <cell r="V265">
            <v>2026</v>
          </cell>
          <cell r="W265">
            <v>2027</v>
          </cell>
          <cell r="X265">
            <v>2028</v>
          </cell>
          <cell r="Y265">
            <v>2029</v>
          </cell>
          <cell r="Z265">
            <v>2030</v>
          </cell>
          <cell r="AA265">
            <v>2031</v>
          </cell>
          <cell r="AB265">
            <v>2032</v>
          </cell>
          <cell r="AC265">
            <v>2033</v>
          </cell>
          <cell r="AD265">
            <v>2034</v>
          </cell>
          <cell r="AE265">
            <v>2035</v>
          </cell>
          <cell r="AF265">
            <v>2036</v>
          </cell>
          <cell r="AG265">
            <v>2037</v>
          </cell>
          <cell r="AH265">
            <v>2038</v>
          </cell>
          <cell r="AI265">
            <v>2039</v>
          </cell>
          <cell r="AJ265">
            <v>2040</v>
          </cell>
          <cell r="AK265">
            <v>2041</v>
          </cell>
          <cell r="AL265">
            <v>2042</v>
          </cell>
          <cell r="AM265">
            <v>2043</v>
          </cell>
          <cell r="AN265">
            <v>2044</v>
          </cell>
          <cell r="AO265">
            <v>2045</v>
          </cell>
          <cell r="AP265">
            <v>2046</v>
          </cell>
          <cell r="AQ265">
            <v>2047</v>
          </cell>
          <cell r="AR265">
            <v>2048</v>
          </cell>
          <cell r="AS265">
            <v>2049</v>
          </cell>
          <cell r="AT265">
            <v>2050</v>
          </cell>
        </row>
        <row r="267">
          <cell r="E267" t="str">
            <v>Gross Revenue</v>
          </cell>
          <cell r="F267" t="str">
            <v>[R$'000]</v>
          </cell>
          <cell r="I267">
            <v>142.60951009427211</v>
          </cell>
          <cell r="J267">
            <v>125.44702841000803</v>
          </cell>
          <cell r="K267">
            <v>92.912016051509866</v>
          </cell>
          <cell r="L267">
            <v>90.015531608211177</v>
          </cell>
          <cell r="M267">
            <v>109.505022831505</v>
          </cell>
          <cell r="N267">
            <v>95.579328385506372</v>
          </cell>
          <cell r="O267">
            <v>116.73239472054443</v>
          </cell>
          <cell r="P267">
            <v>131.02764250633481</v>
          </cell>
          <cell r="Q267">
            <v>130.65085519037319</v>
          </cell>
          <cell r="R267">
            <v>130.90162799305773</v>
          </cell>
          <cell r="S267">
            <v>130.90162799305773</v>
          </cell>
          <cell r="T267">
            <v>130.9016279930577</v>
          </cell>
          <cell r="U267">
            <v>130.9016279930577</v>
          </cell>
          <cell r="V267">
            <v>130.90162799305773</v>
          </cell>
          <cell r="W267">
            <v>130.90162799305773</v>
          </cell>
          <cell r="X267">
            <v>126.08449970839108</v>
          </cell>
          <cell r="Y267">
            <v>126.08272923362058</v>
          </cell>
          <cell r="Z267">
            <v>126.08272923362058</v>
          </cell>
          <cell r="AA267">
            <v>126.08272923362058</v>
          </cell>
          <cell r="AB267">
            <v>126.08272923362058</v>
          </cell>
          <cell r="AC267">
            <v>126.08272923362058</v>
          </cell>
          <cell r="AD267">
            <v>126.08272923362058</v>
          </cell>
          <cell r="AE267">
            <v>126.08272923362058</v>
          </cell>
          <cell r="AF267">
            <v>126.08272923362058</v>
          </cell>
          <cell r="AG267">
            <v>126.08272923362055</v>
          </cell>
          <cell r="AH267">
            <v>126.08272923362058</v>
          </cell>
          <cell r="AI267">
            <v>126.08272923362058</v>
          </cell>
          <cell r="AJ267">
            <v>141.51746410921234</v>
          </cell>
          <cell r="AK267">
            <v>139.24667949091318</v>
          </cell>
          <cell r="AL267">
            <v>139.24667949091318</v>
          </cell>
          <cell r="AM267">
            <v>139.24667949091318</v>
          </cell>
          <cell r="AN267">
            <v>139.24667949091318</v>
          </cell>
          <cell r="AO267">
            <v>139.24667949091315</v>
          </cell>
          <cell r="AP267">
            <v>139.24667949091315</v>
          </cell>
          <cell r="AQ267">
            <v>0</v>
          </cell>
          <cell r="AR267">
            <v>0</v>
          </cell>
          <cell r="AS267">
            <v>0</v>
          </cell>
          <cell r="AT267">
            <v>0</v>
          </cell>
        </row>
        <row r="268">
          <cell r="E268" t="str">
            <v>Domestic</v>
          </cell>
          <cell r="I268">
            <v>142.60951009427211</v>
          </cell>
          <cell r="J268">
            <v>125.44702841000803</v>
          </cell>
          <cell r="K268">
            <v>92.912016051509866</v>
          </cell>
          <cell r="L268">
            <v>90.015531608211177</v>
          </cell>
          <cell r="M268">
            <v>109.505022831505</v>
          </cell>
          <cell r="N268">
            <v>95.579328385506372</v>
          </cell>
          <cell r="O268">
            <v>108.1853119390121</v>
          </cell>
          <cell r="P268">
            <v>122.32704245573552</v>
          </cell>
          <cell r="Q268">
            <v>122.32704245573552</v>
          </cell>
          <cell r="R268">
            <v>122.33536318467259</v>
          </cell>
          <cell r="S268">
            <v>122.33536318467259</v>
          </cell>
          <cell r="T268">
            <v>122.33536318467259</v>
          </cell>
          <cell r="U268">
            <v>122.33536318467259</v>
          </cell>
          <cell r="V268">
            <v>122.33536318467259</v>
          </cell>
          <cell r="W268">
            <v>122.33536318467259</v>
          </cell>
          <cell r="X268">
            <v>108.19182957705371</v>
          </cell>
          <cell r="Y268">
            <v>108.1853842449862</v>
          </cell>
          <cell r="Z268">
            <v>108.1853842449862</v>
          </cell>
          <cell r="AA268">
            <v>108.1853842449862</v>
          </cell>
          <cell r="AB268">
            <v>108.1853842449862</v>
          </cell>
          <cell r="AC268">
            <v>108.1853842449862</v>
          </cell>
          <cell r="AD268">
            <v>108.1853842449862</v>
          </cell>
          <cell r="AE268">
            <v>108.1853842449862</v>
          </cell>
          <cell r="AF268">
            <v>108.1853842449862</v>
          </cell>
          <cell r="AG268">
            <v>108.1853842449862</v>
          </cell>
          <cell r="AH268">
            <v>108.1853842449862</v>
          </cell>
          <cell r="AI268">
            <v>108.1853842449862</v>
          </cell>
          <cell r="AJ268">
            <v>161.8060762360459</v>
          </cell>
          <cell r="AK268">
            <v>0</v>
          </cell>
          <cell r="AL268">
            <v>0</v>
          </cell>
          <cell r="AM268">
            <v>0</v>
          </cell>
          <cell r="AN268">
            <v>0</v>
          </cell>
          <cell r="AO268">
            <v>0</v>
          </cell>
          <cell r="AP268">
            <v>0</v>
          </cell>
          <cell r="AQ268">
            <v>0</v>
          </cell>
          <cell r="AR268">
            <v>0</v>
          </cell>
          <cell r="AS268">
            <v>0</v>
          </cell>
          <cell r="AT268">
            <v>0</v>
          </cell>
        </row>
        <row r="269">
          <cell r="E269" t="str">
            <v>Export</v>
          </cell>
          <cell r="I269">
            <v>0</v>
          </cell>
          <cell r="J269">
            <v>0</v>
          </cell>
          <cell r="K269">
            <v>0</v>
          </cell>
          <cell r="L269">
            <v>0</v>
          </cell>
          <cell r="M269">
            <v>0</v>
          </cell>
          <cell r="N269">
            <v>0</v>
          </cell>
          <cell r="O269">
            <v>139.44192943369481</v>
          </cell>
          <cell r="P269">
            <v>139.50279557257173</v>
          </cell>
          <cell r="Q269">
            <v>138.75898412521462</v>
          </cell>
          <cell r="R269">
            <v>139.24667949091321</v>
          </cell>
          <cell r="S269">
            <v>139.24667949091321</v>
          </cell>
          <cell r="T269">
            <v>139.24667949091315</v>
          </cell>
          <cell r="U269">
            <v>139.24667949091315</v>
          </cell>
          <cell r="V269">
            <v>139.24667949091321</v>
          </cell>
          <cell r="W269">
            <v>139.24667949091321</v>
          </cell>
          <cell r="X269">
            <v>139.24667949091321</v>
          </cell>
          <cell r="Y269">
            <v>139.24667949091318</v>
          </cell>
          <cell r="Z269">
            <v>139.24667949091318</v>
          </cell>
          <cell r="AA269">
            <v>139.24667949091318</v>
          </cell>
          <cell r="AB269">
            <v>139.24667949091318</v>
          </cell>
          <cell r="AC269">
            <v>139.24667949091318</v>
          </cell>
          <cell r="AD269">
            <v>139.24667949091318</v>
          </cell>
          <cell r="AE269">
            <v>139.24667949091318</v>
          </cell>
          <cell r="AF269">
            <v>139.24667949091318</v>
          </cell>
          <cell r="AG269">
            <v>139.24667949091315</v>
          </cell>
          <cell r="AH269">
            <v>139.24667949091318</v>
          </cell>
          <cell r="AI269">
            <v>139.24667949091318</v>
          </cell>
          <cell r="AJ269">
            <v>139.24667949091318</v>
          </cell>
          <cell r="AK269">
            <v>139.24667949091318</v>
          </cell>
          <cell r="AL269">
            <v>139.24667949091318</v>
          </cell>
          <cell r="AM269">
            <v>139.24667949091318</v>
          </cell>
          <cell r="AN269">
            <v>139.24667949091318</v>
          </cell>
          <cell r="AO269">
            <v>139.24667949091315</v>
          </cell>
          <cell r="AP269">
            <v>139.24667949091315</v>
          </cell>
          <cell r="AQ269">
            <v>0</v>
          </cell>
          <cell r="AR269">
            <v>0</v>
          </cell>
          <cell r="AS269">
            <v>0</v>
          </cell>
          <cell r="AT269">
            <v>0</v>
          </cell>
        </row>
        <row r="271">
          <cell r="E271" t="str">
            <v>Export Prices</v>
          </cell>
          <cell r="F271" t="str">
            <v>[R$/t]</v>
          </cell>
          <cell r="I271">
            <v>0</v>
          </cell>
          <cell r="J271">
            <v>0</v>
          </cell>
          <cell r="K271">
            <v>0</v>
          </cell>
          <cell r="L271">
            <v>0</v>
          </cell>
          <cell r="M271">
            <v>0</v>
          </cell>
          <cell r="N271">
            <v>0</v>
          </cell>
          <cell r="O271">
            <v>139.44192943369481</v>
          </cell>
          <cell r="P271">
            <v>139.50279557257173</v>
          </cell>
          <cell r="Q271">
            <v>138.75898412521462</v>
          </cell>
          <cell r="R271">
            <v>139.24667949091321</v>
          </cell>
          <cell r="S271">
            <v>139.24667949091321</v>
          </cell>
          <cell r="T271">
            <v>139.24667949091315</v>
          </cell>
          <cell r="U271">
            <v>139.24667949091315</v>
          </cell>
          <cell r="V271">
            <v>139.24667949091321</v>
          </cell>
          <cell r="W271">
            <v>139.24667949091321</v>
          </cell>
          <cell r="X271">
            <v>139.24667949091321</v>
          </cell>
          <cell r="Y271">
            <v>139.24667949091318</v>
          </cell>
          <cell r="Z271">
            <v>139.24667949091318</v>
          </cell>
          <cell r="AA271">
            <v>139.24667949091318</v>
          </cell>
          <cell r="AB271">
            <v>139.24667949091318</v>
          </cell>
          <cell r="AC271">
            <v>139.24667949091318</v>
          </cell>
          <cell r="AD271">
            <v>139.24667949091318</v>
          </cell>
          <cell r="AE271">
            <v>139.24667949091318</v>
          </cell>
          <cell r="AF271">
            <v>139.24667949091318</v>
          </cell>
          <cell r="AG271">
            <v>139.24667949091315</v>
          </cell>
          <cell r="AH271">
            <v>139.24667949091318</v>
          </cell>
          <cell r="AI271">
            <v>139.24667949091318</v>
          </cell>
          <cell r="AJ271">
            <v>139.24667949091318</v>
          </cell>
          <cell r="AK271">
            <v>139.24667949091318</v>
          </cell>
          <cell r="AL271">
            <v>139.24667949091318</v>
          </cell>
          <cell r="AM271">
            <v>139.24667949091318</v>
          </cell>
          <cell r="AN271">
            <v>139.24667949091318</v>
          </cell>
          <cell r="AO271">
            <v>139.24667949091315</v>
          </cell>
          <cell r="AP271">
            <v>139.24667949091315</v>
          </cell>
          <cell r="AQ271">
            <v>0</v>
          </cell>
          <cell r="AR271">
            <v>0</v>
          </cell>
          <cell r="AS271">
            <v>0</v>
          </cell>
          <cell r="AT271">
            <v>0</v>
          </cell>
        </row>
        <row r="273">
          <cell r="E273" t="str">
            <v>NPO</v>
          </cell>
          <cell r="F273" t="str">
            <v>[R$/t]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row>
        <row r="274">
          <cell r="E274" t="str">
            <v>Hematitinha</v>
          </cell>
          <cell r="F274" t="str">
            <v>[R$/t]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row>
        <row r="275">
          <cell r="E275" t="str">
            <v>Sinter feed</v>
          </cell>
          <cell r="F275" t="str">
            <v>[R$/t]</v>
          </cell>
          <cell r="N275">
            <v>157.20902964959569</v>
          </cell>
          <cell r="O275">
            <v>139.44192943369481</v>
          </cell>
          <cell r="P275">
            <v>139.50279557257173</v>
          </cell>
          <cell r="Q275">
            <v>138.75898412521462</v>
          </cell>
          <cell r="R275">
            <v>139.24667949091321</v>
          </cell>
          <cell r="S275">
            <v>139.24667949091321</v>
          </cell>
          <cell r="T275">
            <v>139.24667949091318</v>
          </cell>
          <cell r="U275">
            <v>139.24667949091318</v>
          </cell>
          <cell r="V275">
            <v>139.24667949091321</v>
          </cell>
          <cell r="W275">
            <v>139.24667949091321</v>
          </cell>
          <cell r="X275">
            <v>139.24667949091321</v>
          </cell>
          <cell r="Y275">
            <v>139.24667949091318</v>
          </cell>
          <cell r="Z275">
            <v>139.24667949091318</v>
          </cell>
          <cell r="AA275">
            <v>139.24667949091318</v>
          </cell>
          <cell r="AB275">
            <v>139.24667949091318</v>
          </cell>
          <cell r="AC275">
            <v>139.24667949091318</v>
          </cell>
          <cell r="AD275">
            <v>139.24667949091318</v>
          </cell>
          <cell r="AE275">
            <v>139.24667949091318</v>
          </cell>
          <cell r="AF275">
            <v>139.24667949091318</v>
          </cell>
          <cell r="AG275">
            <v>139.24667949091315</v>
          </cell>
          <cell r="AH275">
            <v>139.24667949091318</v>
          </cell>
          <cell r="AI275">
            <v>139.24667949091318</v>
          </cell>
          <cell r="AJ275">
            <v>139.24667949091318</v>
          </cell>
          <cell r="AK275">
            <v>139.24667949091318</v>
          </cell>
          <cell r="AL275">
            <v>139.24667949091318</v>
          </cell>
          <cell r="AM275">
            <v>139.24667949091318</v>
          </cell>
          <cell r="AN275">
            <v>139.24667949091318</v>
          </cell>
          <cell r="AO275">
            <v>139.24667949091315</v>
          </cell>
          <cell r="AP275">
            <v>139.24667949091315</v>
          </cell>
          <cell r="AQ275">
            <v>139.24667949091312</v>
          </cell>
          <cell r="AR275">
            <v>139.24667949091312</v>
          </cell>
          <cell r="AS275">
            <v>139.24667949091312</v>
          </cell>
          <cell r="AT275">
            <v>139.24667949091312</v>
          </cell>
        </row>
        <row r="276">
          <cell r="E276" t="str">
            <v>Sinter feed silicoso</v>
          </cell>
          <cell r="F276" t="str">
            <v>[R$/t]</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row>
        <row r="277">
          <cell r="E277" t="str">
            <v>Pellet feed</v>
          </cell>
          <cell r="F277" t="str">
            <v>[R$/t]</v>
          </cell>
          <cell r="N277">
            <v>157.20902964959569</v>
          </cell>
          <cell r="O277">
            <v>139.44192943369481</v>
          </cell>
          <cell r="P277">
            <v>139.50279557257173</v>
          </cell>
          <cell r="Q277">
            <v>138.75898412521462</v>
          </cell>
          <cell r="R277">
            <v>139.24667949091321</v>
          </cell>
          <cell r="S277">
            <v>139.24667949091321</v>
          </cell>
          <cell r="T277">
            <v>139.24667949091318</v>
          </cell>
          <cell r="U277">
            <v>139.24667949091318</v>
          </cell>
          <cell r="V277">
            <v>139.24667949091321</v>
          </cell>
          <cell r="W277">
            <v>139.24667949091321</v>
          </cell>
          <cell r="X277">
            <v>139.24667949091321</v>
          </cell>
          <cell r="Y277">
            <v>139.24667949091318</v>
          </cell>
          <cell r="Z277">
            <v>139.24667949091318</v>
          </cell>
          <cell r="AA277">
            <v>139.24667949091318</v>
          </cell>
          <cell r="AB277">
            <v>139.24667949091318</v>
          </cell>
          <cell r="AC277">
            <v>139.24667949091318</v>
          </cell>
          <cell r="AD277">
            <v>139.24667949091318</v>
          </cell>
          <cell r="AE277">
            <v>139.24667949091318</v>
          </cell>
          <cell r="AF277">
            <v>139.24667949091318</v>
          </cell>
          <cell r="AG277">
            <v>139.24667949091315</v>
          </cell>
          <cell r="AH277">
            <v>139.24667949091318</v>
          </cell>
          <cell r="AI277">
            <v>139.24667949091318</v>
          </cell>
          <cell r="AJ277">
            <v>139.24667949091318</v>
          </cell>
          <cell r="AK277">
            <v>139.24667949091318</v>
          </cell>
          <cell r="AL277">
            <v>139.24667949091318</v>
          </cell>
          <cell r="AM277">
            <v>139.24667949091318</v>
          </cell>
          <cell r="AN277">
            <v>139.24667949091318</v>
          </cell>
          <cell r="AO277">
            <v>139.24667949091315</v>
          </cell>
          <cell r="AP277">
            <v>139.24667949091315</v>
          </cell>
          <cell r="AQ277">
            <v>139.24667949091312</v>
          </cell>
          <cell r="AR277">
            <v>139.24667949091312</v>
          </cell>
          <cell r="AS277">
            <v>139.24667949091312</v>
          </cell>
          <cell r="AT277">
            <v>139.24667949091312</v>
          </cell>
        </row>
        <row r="278">
          <cell r="E278" t="str">
            <v>Sinter feed blend</v>
          </cell>
          <cell r="F278" t="str">
            <v>[R$/t]</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row>
        <row r="279">
          <cell r="E279" t="str">
            <v xml:space="preserve">Conc fino </v>
          </cell>
          <cell r="F279" t="str">
            <v>[R$/t]</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row>
        <row r="281">
          <cell r="E281" t="str">
            <v>Domestic Prices</v>
          </cell>
          <cell r="F281" t="str">
            <v>[R$/t]</v>
          </cell>
          <cell r="I281">
            <v>142.60951009427211</v>
          </cell>
          <cell r="J281">
            <v>125.44702841000803</v>
          </cell>
          <cell r="K281">
            <v>92.912016051509866</v>
          </cell>
          <cell r="L281">
            <v>90.015531608211177</v>
          </cell>
          <cell r="M281">
            <v>109.505022831505</v>
          </cell>
          <cell r="N281">
            <v>95.579328385506372</v>
          </cell>
          <cell r="O281">
            <v>108.1853119390121</v>
          </cell>
          <cell r="P281">
            <v>122.32704245573552</v>
          </cell>
          <cell r="Q281">
            <v>122.32704245573552</v>
          </cell>
          <cell r="R281">
            <v>122.33536318467259</v>
          </cell>
          <cell r="S281">
            <v>122.33536318467259</v>
          </cell>
          <cell r="T281">
            <v>122.33536318467259</v>
          </cell>
          <cell r="U281">
            <v>122.33536318467259</v>
          </cell>
          <cell r="V281">
            <v>122.33536318467259</v>
          </cell>
          <cell r="W281">
            <v>122.33536318467259</v>
          </cell>
          <cell r="X281">
            <v>108.19182957705371</v>
          </cell>
          <cell r="Y281">
            <v>108.1853842449862</v>
          </cell>
          <cell r="Z281">
            <v>108.1853842449862</v>
          </cell>
          <cell r="AA281">
            <v>108.1853842449862</v>
          </cell>
          <cell r="AB281">
            <v>108.1853842449862</v>
          </cell>
          <cell r="AC281">
            <v>108.1853842449862</v>
          </cell>
          <cell r="AD281">
            <v>108.1853842449862</v>
          </cell>
          <cell r="AE281">
            <v>108.1853842449862</v>
          </cell>
          <cell r="AF281">
            <v>108.1853842449862</v>
          </cell>
          <cell r="AG281">
            <v>108.1853842449862</v>
          </cell>
          <cell r="AH281">
            <v>108.1853842449862</v>
          </cell>
          <cell r="AI281">
            <v>108.1853842449862</v>
          </cell>
          <cell r="AJ281">
            <v>161.8060762360459</v>
          </cell>
          <cell r="AK281">
            <v>0</v>
          </cell>
          <cell r="AL281">
            <v>0</v>
          </cell>
          <cell r="AM281">
            <v>0</v>
          </cell>
          <cell r="AN281">
            <v>0</v>
          </cell>
          <cell r="AO281">
            <v>0</v>
          </cell>
          <cell r="AP281">
            <v>0</v>
          </cell>
          <cell r="AQ281">
            <v>0</v>
          </cell>
          <cell r="AR281">
            <v>0</v>
          </cell>
          <cell r="AS281">
            <v>0</v>
          </cell>
          <cell r="AT281">
            <v>0</v>
          </cell>
        </row>
        <row r="283">
          <cell r="E283" t="str">
            <v>NPO</v>
          </cell>
          <cell r="F283" t="str">
            <v>[R$/t]</v>
          </cell>
          <cell r="G283">
            <v>0.6</v>
          </cell>
          <cell r="I283">
            <v>257.11149470727418</v>
          </cell>
          <cell r="J283">
            <v>255.54145096539895</v>
          </cell>
          <cell r="K283">
            <v>236.81350401803203</v>
          </cell>
          <cell r="L283">
            <v>208.32743691256152</v>
          </cell>
          <cell r="M283">
            <v>221.80575503727698</v>
          </cell>
          <cell r="N283">
            <v>208.14727905632898</v>
          </cell>
          <cell r="O283">
            <v>200.34287368286942</v>
          </cell>
          <cell r="P283">
            <v>207.45253501052932</v>
          </cell>
          <cell r="Q283">
            <v>207.45253501052932</v>
          </cell>
          <cell r="R283">
            <v>207.45696336317474</v>
          </cell>
          <cell r="S283">
            <v>207.45696336317474</v>
          </cell>
          <cell r="T283">
            <v>207.45696336317474</v>
          </cell>
          <cell r="U283">
            <v>207.45696336317474</v>
          </cell>
          <cell r="V283">
            <v>207.45696336317474</v>
          </cell>
          <cell r="W283">
            <v>207.45696336317474</v>
          </cell>
          <cell r="X283">
            <v>200.35173038816021</v>
          </cell>
          <cell r="Y283">
            <v>200.35173038816021</v>
          </cell>
          <cell r="Z283">
            <v>200.35173038816021</v>
          </cell>
          <cell r="AA283">
            <v>200.35173038816021</v>
          </cell>
          <cell r="AB283">
            <v>200.35173038816021</v>
          </cell>
          <cell r="AC283">
            <v>200.35173038816021</v>
          </cell>
          <cell r="AD283">
            <v>200.35173038816021</v>
          </cell>
          <cell r="AE283">
            <v>200.35173038816021</v>
          </cell>
          <cell r="AF283">
            <v>200.35173038816021</v>
          </cell>
          <cell r="AG283">
            <v>200.35173038816021</v>
          </cell>
          <cell r="AH283">
            <v>200.35173038816021</v>
          </cell>
          <cell r="AI283">
            <v>200.35173038816021</v>
          </cell>
          <cell r="AJ283">
            <v>200.35173038816021</v>
          </cell>
          <cell r="AK283">
            <v>200.35173038816021</v>
          </cell>
          <cell r="AL283">
            <v>200.35173038816021</v>
          </cell>
          <cell r="AM283">
            <v>200.35173038816021</v>
          </cell>
          <cell r="AN283">
            <v>200.35173038816021</v>
          </cell>
          <cell r="AO283">
            <v>200.35173038816021</v>
          </cell>
          <cell r="AP283">
            <v>200.35173038816021</v>
          </cell>
          <cell r="AQ283">
            <v>200.35173038816021</v>
          </cell>
          <cell r="AR283">
            <v>200.35173038816021</v>
          </cell>
          <cell r="AS283">
            <v>200.35173038816021</v>
          </cell>
          <cell r="AT283">
            <v>200.35173038816021</v>
          </cell>
        </row>
        <row r="284">
          <cell r="E284" t="str">
            <v>Hematitinha</v>
          </cell>
          <cell r="F284" t="str">
            <v>[R$/t]</v>
          </cell>
          <cell r="I284">
            <v>179.73795351857413</v>
          </cell>
          <cell r="J284">
            <v>150.06578617899424</v>
          </cell>
          <cell r="K284">
            <v>111.7710338598726</v>
          </cell>
          <cell r="L284">
            <v>115.29952213932161</v>
          </cell>
          <cell r="M284">
            <v>87.59006612179634</v>
          </cell>
          <cell r="N284">
            <v>80.735191381829665</v>
          </cell>
          <cell r="O284">
            <v>80.735191381829665</v>
          </cell>
          <cell r="P284">
            <v>80.735191381829665</v>
          </cell>
          <cell r="Q284">
            <v>80.735191381829665</v>
          </cell>
          <cell r="R284">
            <v>80.735191381829665</v>
          </cell>
          <cell r="S284">
            <v>80.735191381829665</v>
          </cell>
          <cell r="T284">
            <v>80.735191381829665</v>
          </cell>
          <cell r="U284">
            <v>80.735191381829665</v>
          </cell>
          <cell r="V284">
            <v>80.735191381829665</v>
          </cell>
          <cell r="W284">
            <v>80.735191381829665</v>
          </cell>
          <cell r="X284">
            <v>80.735191381829665</v>
          </cell>
          <cell r="Y284">
            <v>80.735191381829665</v>
          </cell>
          <cell r="Z284">
            <v>80.735191381829665</v>
          </cell>
          <cell r="AA284">
            <v>80.735191381829665</v>
          </cell>
          <cell r="AB284">
            <v>80.735191381829665</v>
          </cell>
          <cell r="AC284">
            <v>80.735191381829665</v>
          </cell>
          <cell r="AD284">
            <v>80.735191381829665</v>
          </cell>
          <cell r="AE284">
            <v>80.735191381829665</v>
          </cell>
          <cell r="AF284">
            <v>80.735191381829665</v>
          </cell>
          <cell r="AG284">
            <v>80.735191381829665</v>
          </cell>
          <cell r="AH284">
            <v>80.735191381829665</v>
          </cell>
          <cell r="AI284">
            <v>80.735191381829665</v>
          </cell>
          <cell r="AJ284">
            <v>80.735191381829665</v>
          </cell>
          <cell r="AK284">
            <v>80.735191381829665</v>
          </cell>
          <cell r="AL284">
            <v>80.735191381829665</v>
          </cell>
          <cell r="AM284">
            <v>80.735191381829665</v>
          </cell>
          <cell r="AN284">
            <v>80.735191381829665</v>
          </cell>
          <cell r="AO284">
            <v>80.735191381829665</v>
          </cell>
          <cell r="AP284">
            <v>80.735191381829665</v>
          </cell>
          <cell r="AQ284">
            <v>80.735191381829665</v>
          </cell>
          <cell r="AR284">
            <v>80.735191381829665</v>
          </cell>
          <cell r="AS284">
            <v>80.735191381829665</v>
          </cell>
          <cell r="AT284">
            <v>80.735191381829665</v>
          </cell>
        </row>
        <row r="285">
          <cell r="E285" t="str">
            <v>Sinter feed</v>
          </cell>
          <cell r="F285" t="str">
            <v>[R$/t]</v>
          </cell>
          <cell r="I285">
            <v>115.7633188040804</v>
          </cell>
          <cell r="J285">
            <v>90.950164380317702</v>
          </cell>
          <cell r="K285">
            <v>63.751274039142594</v>
          </cell>
          <cell r="L285">
            <v>70.778112825831684</v>
          </cell>
          <cell r="M285">
            <v>84.315089891166792</v>
          </cell>
          <cell r="N285">
            <v>81.900191553476859</v>
          </cell>
          <cell r="O285">
            <v>81.900191553476859</v>
          </cell>
          <cell r="P285">
            <v>81.900191553476859</v>
          </cell>
          <cell r="Q285">
            <v>81.900191553476859</v>
          </cell>
          <cell r="R285">
            <v>81.900191553476859</v>
          </cell>
          <cell r="S285">
            <v>81.900191553476859</v>
          </cell>
          <cell r="T285">
            <v>81.900191553476859</v>
          </cell>
          <cell r="U285">
            <v>81.900191553476859</v>
          </cell>
          <cell r="V285">
            <v>81.900191553476859</v>
          </cell>
          <cell r="W285">
            <v>81.900191553476859</v>
          </cell>
          <cell r="X285">
            <v>81.900191553476859</v>
          </cell>
          <cell r="Y285">
            <v>81.900191553476859</v>
          </cell>
          <cell r="Z285">
            <v>81.900191553476859</v>
          </cell>
          <cell r="AA285">
            <v>81.900191553476859</v>
          </cell>
          <cell r="AB285">
            <v>81.900191553476859</v>
          </cell>
          <cell r="AC285">
            <v>81.900191553476859</v>
          </cell>
          <cell r="AD285">
            <v>81.900191553476859</v>
          </cell>
          <cell r="AE285">
            <v>81.900191553476859</v>
          </cell>
          <cell r="AF285">
            <v>81.900191553476859</v>
          </cell>
          <cell r="AG285">
            <v>81.900191553476859</v>
          </cell>
          <cell r="AH285">
            <v>81.900191553476859</v>
          </cell>
          <cell r="AI285">
            <v>81.900191553476859</v>
          </cell>
          <cell r="AJ285">
            <v>81.900191553476859</v>
          </cell>
          <cell r="AK285">
            <v>81.900191553476859</v>
          </cell>
          <cell r="AL285">
            <v>81.900191553476859</v>
          </cell>
          <cell r="AM285">
            <v>81.900191553476859</v>
          </cell>
          <cell r="AN285">
            <v>81.900191553476859</v>
          </cell>
          <cell r="AO285">
            <v>81.900191553476859</v>
          </cell>
          <cell r="AP285">
            <v>81.900191553476859</v>
          </cell>
          <cell r="AQ285">
            <v>81.900191553476859</v>
          </cell>
          <cell r="AR285">
            <v>81.900191553476859</v>
          </cell>
          <cell r="AS285">
            <v>81.900191553476859</v>
          </cell>
          <cell r="AT285">
            <v>81.900191553476859</v>
          </cell>
        </row>
        <row r="286">
          <cell r="E286" t="str">
            <v>Sinter feed silicoso</v>
          </cell>
          <cell r="F286" t="str">
            <v>[R$/t]</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row>
        <row r="287">
          <cell r="E287" t="str">
            <v>Pellet feed</v>
          </cell>
          <cell r="F287" t="str">
            <v>[R$/t]</v>
          </cell>
          <cell r="I287">
            <v>82.924944030111121</v>
          </cell>
          <cell r="J287">
            <v>75.979763920479016</v>
          </cell>
          <cell r="K287">
            <v>53.523599474501616</v>
          </cell>
          <cell r="L287">
            <v>58.209206127211189</v>
          </cell>
          <cell r="M287">
            <v>69.920186755497554</v>
          </cell>
          <cell r="N287">
            <v>65.538906856224614</v>
          </cell>
          <cell r="O287">
            <v>76.77227497558745</v>
          </cell>
          <cell r="P287">
            <v>76.77227497558745</v>
          </cell>
          <cell r="Q287">
            <v>76.77227497558745</v>
          </cell>
          <cell r="R287">
            <v>76.77227497558745</v>
          </cell>
          <cell r="S287">
            <v>76.77227497558745</v>
          </cell>
          <cell r="T287">
            <v>76.77227497558745</v>
          </cell>
          <cell r="U287">
            <v>76.77227497558745</v>
          </cell>
          <cell r="V287">
            <v>76.77227497558745</v>
          </cell>
          <cell r="W287">
            <v>76.77227497558745</v>
          </cell>
          <cell r="X287">
            <v>76.77227497558745</v>
          </cell>
          <cell r="Y287">
            <v>76.77227497558745</v>
          </cell>
          <cell r="Z287">
            <v>76.77227497558745</v>
          </cell>
          <cell r="AA287">
            <v>76.77227497558745</v>
          </cell>
          <cell r="AB287">
            <v>76.77227497558745</v>
          </cell>
          <cell r="AC287">
            <v>76.77227497558745</v>
          </cell>
          <cell r="AD287">
            <v>76.77227497558745</v>
          </cell>
          <cell r="AE287">
            <v>76.77227497558745</v>
          </cell>
          <cell r="AF287">
            <v>76.77227497558745</v>
          </cell>
          <cell r="AG287">
            <v>76.77227497558745</v>
          </cell>
          <cell r="AH287">
            <v>76.77227497558745</v>
          </cell>
          <cell r="AI287">
            <v>76.77227497558745</v>
          </cell>
          <cell r="AJ287">
            <v>76.77227497558745</v>
          </cell>
          <cell r="AK287">
            <v>76.77227497558745</v>
          </cell>
          <cell r="AL287">
            <v>76.77227497558745</v>
          </cell>
          <cell r="AM287">
            <v>76.77227497558745</v>
          </cell>
          <cell r="AN287">
            <v>76.77227497558745</v>
          </cell>
          <cell r="AO287">
            <v>76.77227497558745</v>
          </cell>
          <cell r="AP287">
            <v>76.77227497558745</v>
          </cell>
          <cell r="AQ287">
            <v>76.77227497558745</v>
          </cell>
          <cell r="AR287">
            <v>76.77227497558745</v>
          </cell>
          <cell r="AS287">
            <v>76.77227497558745</v>
          </cell>
          <cell r="AT287">
            <v>76.77227497558745</v>
          </cell>
        </row>
        <row r="288">
          <cell r="E288" t="str">
            <v>Sinter feed blend</v>
          </cell>
          <cell r="F288" t="str">
            <v>[R$/t]</v>
          </cell>
          <cell r="I288">
            <v>213.7480131152733</v>
          </cell>
          <cell r="J288">
            <v>201.24955321907657</v>
          </cell>
          <cell r="K288">
            <v>157.02174201539438</v>
          </cell>
          <cell r="L288">
            <v>121.91038458958383</v>
          </cell>
          <cell r="M288">
            <v>172.54929187030353</v>
          </cell>
          <cell r="N288">
            <v>159.04543424567109</v>
          </cell>
          <cell r="O288">
            <v>159.04543424567109</v>
          </cell>
          <cell r="P288">
            <v>159.04543424567109</v>
          </cell>
          <cell r="Q288">
            <v>159.04543424567109</v>
          </cell>
          <cell r="R288">
            <v>159.04543424567109</v>
          </cell>
          <cell r="S288">
            <v>159.04543424567109</v>
          </cell>
          <cell r="T288">
            <v>159.04543424567109</v>
          </cell>
          <cell r="U288">
            <v>159.04543424567109</v>
          </cell>
          <cell r="V288">
            <v>159.04543424567109</v>
          </cell>
          <cell r="W288">
            <v>159.04543424567109</v>
          </cell>
          <cell r="X288">
            <v>159.04543424567109</v>
          </cell>
          <cell r="Y288">
            <v>159.04543424567109</v>
          </cell>
          <cell r="Z288">
            <v>159.04543424567109</v>
          </cell>
          <cell r="AA288">
            <v>159.04543424567109</v>
          </cell>
          <cell r="AB288">
            <v>159.04543424567109</v>
          </cell>
          <cell r="AC288">
            <v>159.04543424567109</v>
          </cell>
          <cell r="AD288">
            <v>159.04543424567109</v>
          </cell>
          <cell r="AE288">
            <v>159.04543424567109</v>
          </cell>
          <cell r="AF288">
            <v>159.04543424567109</v>
          </cell>
          <cell r="AG288">
            <v>159.04543424567109</v>
          </cell>
          <cell r="AH288">
            <v>159.04543424567109</v>
          </cell>
          <cell r="AI288">
            <v>159.04543424567109</v>
          </cell>
          <cell r="AJ288">
            <v>159.04543424567109</v>
          </cell>
          <cell r="AK288">
            <v>159.04543424567109</v>
          </cell>
          <cell r="AL288">
            <v>159.04543424567109</v>
          </cell>
          <cell r="AM288">
            <v>159.04543424567109</v>
          </cell>
          <cell r="AN288">
            <v>159.04543424567109</v>
          </cell>
          <cell r="AO288">
            <v>159.04543424567109</v>
          </cell>
          <cell r="AP288">
            <v>159.04543424567109</v>
          </cell>
          <cell r="AQ288">
            <v>159.04543424567109</v>
          </cell>
          <cell r="AR288">
            <v>159.04543424567109</v>
          </cell>
          <cell r="AS288">
            <v>159.04543424567109</v>
          </cell>
          <cell r="AT288">
            <v>159.04543424567109</v>
          </cell>
        </row>
        <row r="289">
          <cell r="E289" t="str">
            <v xml:space="preserve">Conc fino </v>
          </cell>
          <cell r="F289" t="str">
            <v>[R$/t]</v>
          </cell>
          <cell r="I289">
            <v>94.385179445642407</v>
          </cell>
          <cell r="J289">
            <v>114.66389697076771</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row>
        <row r="291">
          <cell r="E291" t="str">
            <v>NPO</v>
          </cell>
          <cell r="F291" t="str">
            <v>[US$/t]</v>
          </cell>
          <cell r="I291">
            <v>119.00513815912886</v>
          </cell>
          <cell r="J291">
            <v>108.48559564505314</v>
          </cell>
          <cell r="K291">
            <v>69.856490860776404</v>
          </cell>
          <cell r="L291">
            <v>60.583171163864321</v>
          </cell>
          <cell r="M291">
            <v>69.811185678752707</v>
          </cell>
          <cell r="N291">
            <v>64.225753077373398</v>
          </cell>
          <cell r="O291">
            <v>61.790660673279035</v>
          </cell>
          <cell r="P291">
            <v>64.326435271818468</v>
          </cell>
          <cell r="Q291">
            <v>64.10113938333717</v>
          </cell>
          <cell r="R291">
            <v>64.102507708145296</v>
          </cell>
          <cell r="S291">
            <v>64.102507708145311</v>
          </cell>
          <cell r="T291">
            <v>64.102507708145311</v>
          </cell>
          <cell r="U291">
            <v>64.102507708145296</v>
          </cell>
          <cell r="V291">
            <v>64.102507708145296</v>
          </cell>
          <cell r="W291">
            <v>64.102507708145296</v>
          </cell>
          <cell r="X291">
            <v>61.907048736003205</v>
          </cell>
          <cell r="Y291">
            <v>61.907048736003212</v>
          </cell>
          <cell r="Z291">
            <v>61.907048736003212</v>
          </cell>
          <cell r="AA291">
            <v>61.907048736003212</v>
          </cell>
          <cell r="AB291">
            <v>61.907048736003212</v>
          </cell>
          <cell r="AC291">
            <v>61.907048736003212</v>
          </cell>
          <cell r="AD291">
            <v>61.907048736003212</v>
          </cell>
          <cell r="AE291">
            <v>61.907048736003212</v>
          </cell>
          <cell r="AF291">
            <v>61.907048736003219</v>
          </cell>
          <cell r="AG291">
            <v>61.907048736003212</v>
          </cell>
          <cell r="AH291">
            <v>61.907048736003212</v>
          </cell>
          <cell r="AI291">
            <v>61.907048736003212</v>
          </cell>
          <cell r="AJ291">
            <v>61.907048736003212</v>
          </cell>
          <cell r="AK291">
            <v>61.907048736003212</v>
          </cell>
          <cell r="AL291">
            <v>61.907048736003212</v>
          </cell>
          <cell r="AM291">
            <v>61.907048736003212</v>
          </cell>
          <cell r="AN291">
            <v>61.907048736003219</v>
          </cell>
          <cell r="AO291">
            <v>61.907048736003219</v>
          </cell>
          <cell r="AP291">
            <v>61.907048736003233</v>
          </cell>
          <cell r="AQ291">
            <v>61.907048736003233</v>
          </cell>
          <cell r="AR291">
            <v>61.907048736003233</v>
          </cell>
          <cell r="AS291">
            <v>61.90704873600324</v>
          </cell>
          <cell r="AT291">
            <v>61.907048736003233</v>
          </cell>
        </row>
        <row r="292">
          <cell r="E292" t="str">
            <v>Hematitinha</v>
          </cell>
          <cell r="F292" t="str">
            <v>[US$/t]</v>
          </cell>
          <cell r="I292">
            <v>83.192468758619981</v>
          </cell>
          <cell r="J292">
            <v>63.707770845269756</v>
          </cell>
          <cell r="K292">
            <v>32.970806448339999</v>
          </cell>
          <cell r="L292">
            <v>33.529960279836274</v>
          </cell>
          <cell r="M292">
            <v>27.568114130380863</v>
          </cell>
          <cell r="N292">
            <v>24.911584191021937</v>
          </cell>
          <cell r="O292">
            <v>24.900715075913592</v>
          </cell>
          <cell r="P292">
            <v>25.034194266739377</v>
          </cell>
          <cell r="Q292">
            <v>24.946514901080366</v>
          </cell>
          <cell r="R292">
            <v>24.946514901080366</v>
          </cell>
          <cell r="S292">
            <v>24.94651490108037</v>
          </cell>
          <cell r="T292">
            <v>24.94651490108037</v>
          </cell>
          <cell r="U292">
            <v>24.946514901080366</v>
          </cell>
          <cell r="V292">
            <v>24.946514901080366</v>
          </cell>
          <cell r="W292">
            <v>24.946514901080366</v>
          </cell>
          <cell r="X292">
            <v>24.94651490108037</v>
          </cell>
          <cell r="Y292">
            <v>24.946514901080374</v>
          </cell>
          <cell r="Z292">
            <v>24.946514901080374</v>
          </cell>
          <cell r="AA292">
            <v>24.946514901080374</v>
          </cell>
          <cell r="AB292">
            <v>24.946514901080374</v>
          </cell>
          <cell r="AC292">
            <v>24.946514901080374</v>
          </cell>
          <cell r="AD292">
            <v>24.946514901080374</v>
          </cell>
          <cell r="AE292">
            <v>24.946514901080374</v>
          </cell>
          <cell r="AF292">
            <v>24.946514901080374</v>
          </cell>
          <cell r="AG292">
            <v>24.946514901080374</v>
          </cell>
          <cell r="AH292">
            <v>24.946514901080374</v>
          </cell>
          <cell r="AI292">
            <v>24.946514901080374</v>
          </cell>
          <cell r="AJ292">
            <v>24.946514901080374</v>
          </cell>
          <cell r="AK292">
            <v>24.946514901080374</v>
          </cell>
          <cell r="AL292">
            <v>24.946514901080374</v>
          </cell>
          <cell r="AM292">
            <v>24.946514901080374</v>
          </cell>
          <cell r="AN292">
            <v>24.946514901080374</v>
          </cell>
          <cell r="AO292">
            <v>24.946514901080374</v>
          </cell>
          <cell r="AP292">
            <v>24.946514901080377</v>
          </cell>
          <cell r="AQ292">
            <v>24.946514901080377</v>
          </cell>
          <cell r="AR292">
            <v>24.946514901080377</v>
          </cell>
          <cell r="AS292">
            <v>24.946514901080381</v>
          </cell>
          <cell r="AT292">
            <v>24.946514901080377</v>
          </cell>
        </row>
        <row r="293">
          <cell r="E293" t="str">
            <v>Sinter feed</v>
          </cell>
          <cell r="F293" t="str">
            <v>[US$/t]</v>
          </cell>
          <cell r="I293">
            <v>53.581539649651091</v>
          </cell>
          <cell r="J293">
            <v>38.611280946942152</v>
          </cell>
          <cell r="K293">
            <v>18.8056855572692</v>
          </cell>
          <cell r="L293">
            <v>20.582802666469661</v>
          </cell>
          <cell r="M293">
            <v>26.537347486424498</v>
          </cell>
          <cell r="N293">
            <v>25.271055684949378</v>
          </cell>
          <cell r="O293">
            <v>25.260029729673189</v>
          </cell>
          <cell r="P293">
            <v>25.395435010938122</v>
          </cell>
          <cell r="Q293">
            <v>25.306490441415786</v>
          </cell>
          <cell r="R293">
            <v>25.306490441415786</v>
          </cell>
          <cell r="S293">
            <v>25.306490441415789</v>
          </cell>
          <cell r="T293">
            <v>25.306490441415789</v>
          </cell>
          <cell r="U293">
            <v>25.306490441415786</v>
          </cell>
          <cell r="V293">
            <v>25.306490441415786</v>
          </cell>
          <cell r="W293">
            <v>25.306490441415786</v>
          </cell>
          <cell r="X293">
            <v>25.306490441415789</v>
          </cell>
          <cell r="Y293">
            <v>25.306490441415793</v>
          </cell>
          <cell r="Z293">
            <v>25.306490441415793</v>
          </cell>
          <cell r="AA293">
            <v>25.306490441415793</v>
          </cell>
          <cell r="AB293">
            <v>25.306490441415793</v>
          </cell>
          <cell r="AC293">
            <v>25.306490441415793</v>
          </cell>
          <cell r="AD293">
            <v>25.306490441415793</v>
          </cell>
          <cell r="AE293">
            <v>25.306490441415793</v>
          </cell>
          <cell r="AF293">
            <v>25.306490441415797</v>
          </cell>
          <cell r="AG293">
            <v>25.306490441415793</v>
          </cell>
          <cell r="AH293">
            <v>25.306490441415793</v>
          </cell>
          <cell r="AI293">
            <v>25.306490441415793</v>
          </cell>
          <cell r="AJ293">
            <v>25.306490441415793</v>
          </cell>
          <cell r="AK293">
            <v>25.306490441415793</v>
          </cell>
          <cell r="AL293">
            <v>25.306490441415793</v>
          </cell>
          <cell r="AM293">
            <v>25.306490441415793</v>
          </cell>
          <cell r="AN293">
            <v>25.306490441415797</v>
          </cell>
          <cell r="AO293">
            <v>25.306490441415797</v>
          </cell>
          <cell r="AP293">
            <v>25.3064904414158</v>
          </cell>
          <cell r="AQ293">
            <v>25.3064904414158</v>
          </cell>
          <cell r="AR293">
            <v>25.3064904414158</v>
          </cell>
          <cell r="AS293">
            <v>25.306490441415804</v>
          </cell>
          <cell r="AT293">
            <v>25.3064904414158</v>
          </cell>
        </row>
        <row r="294">
          <cell r="E294" t="str">
            <v>Sinter feed silicoso</v>
          </cell>
          <cell r="F294" t="str">
            <v>[US$/t]</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row>
        <row r="295">
          <cell r="E295" t="str">
            <v>Pellet feed</v>
          </cell>
          <cell r="F295" t="str">
            <v>[US$/t]</v>
          </cell>
          <cell r="I295">
            <v>38.38215958557921</v>
          </cell>
          <cell r="J295">
            <v>32.255862658460721</v>
          </cell>
          <cell r="K295">
            <v>15.788672411357409</v>
          </cell>
          <cell r="L295">
            <v>16.92767093178238</v>
          </cell>
          <cell r="M295">
            <v>22.006692925802412</v>
          </cell>
          <cell r="N295">
            <v>20.222631147485412</v>
          </cell>
          <cell r="O295">
            <v>23.678454366394671</v>
          </cell>
          <cell r="P295">
            <v>23.805381682304922</v>
          </cell>
          <cell r="Q295">
            <v>23.722006090387101</v>
          </cell>
          <cell r="R295">
            <v>23.722006090387101</v>
          </cell>
          <cell r="S295">
            <v>23.722006090387104</v>
          </cell>
          <cell r="T295">
            <v>23.722006090387104</v>
          </cell>
          <cell r="U295">
            <v>23.722006090387101</v>
          </cell>
          <cell r="V295">
            <v>23.722006090387101</v>
          </cell>
          <cell r="W295">
            <v>23.722006090387101</v>
          </cell>
          <cell r="X295">
            <v>23.722006090387104</v>
          </cell>
          <cell r="Y295">
            <v>23.722006090387108</v>
          </cell>
          <cell r="Z295">
            <v>23.722006090387108</v>
          </cell>
          <cell r="AA295">
            <v>23.722006090387108</v>
          </cell>
          <cell r="AB295">
            <v>23.722006090387108</v>
          </cell>
          <cell r="AC295">
            <v>23.722006090387108</v>
          </cell>
          <cell r="AD295">
            <v>23.722006090387108</v>
          </cell>
          <cell r="AE295">
            <v>23.722006090387108</v>
          </cell>
          <cell r="AF295">
            <v>23.722006090387111</v>
          </cell>
          <cell r="AG295">
            <v>23.722006090387108</v>
          </cell>
          <cell r="AH295">
            <v>23.722006090387108</v>
          </cell>
          <cell r="AI295">
            <v>23.722006090387108</v>
          </cell>
          <cell r="AJ295">
            <v>23.722006090387108</v>
          </cell>
          <cell r="AK295">
            <v>23.722006090387108</v>
          </cell>
          <cell r="AL295">
            <v>23.722006090387108</v>
          </cell>
          <cell r="AM295">
            <v>23.722006090387108</v>
          </cell>
          <cell r="AN295">
            <v>23.722006090387111</v>
          </cell>
          <cell r="AO295">
            <v>23.722006090387111</v>
          </cell>
          <cell r="AP295">
            <v>23.722006090387115</v>
          </cell>
          <cell r="AQ295">
            <v>23.722006090387115</v>
          </cell>
          <cell r="AR295">
            <v>23.722006090387115</v>
          </cell>
          <cell r="AS295">
            <v>23.722006090387119</v>
          </cell>
          <cell r="AT295">
            <v>23.722006090387115</v>
          </cell>
        </row>
        <row r="296">
          <cell r="E296" t="str">
            <v>Sinter feed blend</v>
          </cell>
          <cell r="F296" t="str">
            <v>[US$/t]</v>
          </cell>
          <cell r="I296">
            <v>98.934168077483164</v>
          </cell>
          <cell r="J296">
            <v>85.436932332471386</v>
          </cell>
          <cell r="K296">
            <v>46.319097939644358</v>
          </cell>
          <cell r="L296">
            <v>35.452448346221402</v>
          </cell>
          <cell r="M296">
            <v>54.308197059497438</v>
          </cell>
          <cell r="N296">
            <v>49.074928263567443</v>
          </cell>
          <cell r="O296">
            <v>49.053516496249053</v>
          </cell>
          <cell r="P296">
            <v>49.31646571955919</v>
          </cell>
          <cell r="Q296">
            <v>49.143740510800221</v>
          </cell>
          <cell r="R296">
            <v>49.143740510800221</v>
          </cell>
          <cell r="S296">
            <v>49.143740510800228</v>
          </cell>
          <cell r="T296">
            <v>49.143740510800228</v>
          </cell>
          <cell r="U296">
            <v>49.143740510800221</v>
          </cell>
          <cell r="V296">
            <v>49.143740510800221</v>
          </cell>
          <cell r="W296">
            <v>49.143740510800221</v>
          </cell>
          <cell r="X296">
            <v>49.143740510800228</v>
          </cell>
          <cell r="Y296">
            <v>49.143740510800235</v>
          </cell>
          <cell r="Z296">
            <v>49.143740510800235</v>
          </cell>
          <cell r="AA296">
            <v>49.143740510800235</v>
          </cell>
          <cell r="AB296">
            <v>49.143740510800235</v>
          </cell>
          <cell r="AC296">
            <v>49.143740510800235</v>
          </cell>
          <cell r="AD296">
            <v>49.143740510800235</v>
          </cell>
          <cell r="AE296">
            <v>49.143740510800235</v>
          </cell>
          <cell r="AF296">
            <v>49.143740510800242</v>
          </cell>
          <cell r="AG296">
            <v>49.143740510800235</v>
          </cell>
          <cell r="AH296">
            <v>49.143740510800235</v>
          </cell>
          <cell r="AI296">
            <v>49.143740510800235</v>
          </cell>
          <cell r="AJ296">
            <v>49.143740510800235</v>
          </cell>
          <cell r="AK296">
            <v>49.143740510800235</v>
          </cell>
          <cell r="AL296">
            <v>49.143740510800235</v>
          </cell>
          <cell r="AM296">
            <v>49.143740510800235</v>
          </cell>
          <cell r="AN296">
            <v>49.143740510800242</v>
          </cell>
          <cell r="AO296">
            <v>49.143740510800242</v>
          </cell>
          <cell r="AP296">
            <v>49.143740510800242</v>
          </cell>
          <cell r="AQ296">
            <v>49.143740510800242</v>
          </cell>
          <cell r="AR296">
            <v>49.143740510800242</v>
          </cell>
          <cell r="AS296">
            <v>49.143740510800249</v>
          </cell>
          <cell r="AT296">
            <v>49.143740510800242</v>
          </cell>
        </row>
        <row r="297">
          <cell r="E297" t="str">
            <v xml:space="preserve">Conc fino </v>
          </cell>
          <cell r="F297" t="str">
            <v>[US$/t]</v>
          </cell>
          <cell r="I297">
            <v>43.686577812831871</v>
          </cell>
          <cell r="J297">
            <v>48.678525988103068</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row>
        <row r="299">
          <cell r="E299" t="str">
            <v>Vallourec Companies</v>
          </cell>
          <cell r="F299" t="str">
            <v>[R$/t]</v>
          </cell>
        </row>
        <row r="301">
          <cell r="E301" t="str">
            <v>NPO</v>
          </cell>
          <cell r="F301" t="str">
            <v>[R$/t]</v>
          </cell>
          <cell r="I301">
            <v>279.84127659015996</v>
          </cell>
          <cell r="J301">
            <v>258.7963690502508</v>
          </cell>
          <cell r="K301">
            <v>239.35121576101088</v>
          </cell>
          <cell r="L301">
            <v>233.005251097242</v>
          </cell>
          <cell r="M301">
            <v>251.85071094636601</v>
          </cell>
          <cell r="N301">
            <v>233.24420551351437</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row>
        <row r="302">
          <cell r="E302" t="str">
            <v>Hematitinha</v>
          </cell>
          <cell r="F302" t="str">
            <v>[R$/t]</v>
          </cell>
          <cell r="I302">
            <v>155.22755709081346</v>
          </cell>
          <cell r="J302">
            <v>147.86146526387182</v>
          </cell>
          <cell r="K302">
            <v>93.596271292095693</v>
          </cell>
          <cell r="L302">
            <v>84.764963076349346</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row>
        <row r="303">
          <cell r="E303" t="str">
            <v>Sinter feed</v>
          </cell>
          <cell r="F303" t="str">
            <v>[R$/t]</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row>
        <row r="304">
          <cell r="E304" t="str">
            <v>Sinter feed silicoso</v>
          </cell>
          <cell r="F304" t="str">
            <v>[R$/t]</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row>
        <row r="305">
          <cell r="E305" t="str">
            <v>Pellet feed</v>
          </cell>
          <cell r="F305" t="str">
            <v>[R$/t]</v>
          </cell>
          <cell r="I305">
            <v>82.998726335314529</v>
          </cell>
          <cell r="J305">
            <v>75.979763920479016</v>
          </cell>
          <cell r="K305">
            <v>53.523599474501616</v>
          </cell>
          <cell r="L305">
            <v>58.209206127211189</v>
          </cell>
          <cell r="M305">
            <v>65.14501213922459</v>
          </cell>
          <cell r="N305">
            <v>60.046706841372234</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row>
        <row r="306">
          <cell r="E306" t="str">
            <v>Sinter feed blend</v>
          </cell>
          <cell r="F306" t="str">
            <v>[R$/t]</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row>
        <row r="307">
          <cell r="E307" t="str">
            <v xml:space="preserve">Conc fino </v>
          </cell>
          <cell r="F307" t="str">
            <v>[R$/t]</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row>
        <row r="309">
          <cell r="E309" t="str">
            <v>NPO</v>
          </cell>
          <cell r="F309" t="str">
            <v>[US$/t]</v>
          </cell>
          <cell r="I309">
            <v>129.52571343087752</v>
          </cell>
          <cell r="J309">
            <v>109.8674134514286</v>
          </cell>
          <cell r="K309">
            <v>70.605078395578431</v>
          </cell>
          <cell r="L309">
            <v>67.75966343419374</v>
          </cell>
          <cell r="M309">
            <v>79.267540836565672</v>
          </cell>
          <cell r="N309">
            <v>71.969640045042979</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row>
        <row r="310">
          <cell r="E310" t="str">
            <v>Hematitinha</v>
          </cell>
          <cell r="F310" t="str">
            <v>[US$/t]</v>
          </cell>
          <cell r="I310">
            <v>71.847728545656835</v>
          </cell>
          <cell r="J310">
            <v>62.771965454142489</v>
          </cell>
          <cell r="K310">
            <v>27.60951955519047</v>
          </cell>
          <cell r="L310">
            <v>24.650282952929022</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row>
        <row r="311">
          <cell r="E311" t="str">
            <v>Sinter feed</v>
          </cell>
          <cell r="F311" t="str">
            <v>[US$/t]</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row>
        <row r="312">
          <cell r="E312" t="str">
            <v>Sinter feed silicoso</v>
          </cell>
          <cell r="F312" t="str">
            <v>[US$/t]</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row>
        <row r="313">
          <cell r="E313" t="str">
            <v>Pellet feed</v>
          </cell>
          <cell r="F313" t="str">
            <v>[US$/t]</v>
          </cell>
          <cell r="I313">
            <v>38.416310036279313</v>
          </cell>
          <cell r="J313">
            <v>32.255862658460721</v>
          </cell>
          <cell r="K313">
            <v>15.788672411357409</v>
          </cell>
          <cell r="L313">
            <v>16.92767093178238</v>
          </cell>
          <cell r="M313">
            <v>20.503753555590517</v>
          </cell>
          <cell r="N313">
            <v>18.527962432118748</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row>
        <row r="314">
          <cell r="E314" t="str">
            <v>Sinter feed blend</v>
          </cell>
          <cell r="F314" t="str">
            <v>[US$/t]</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row>
        <row r="315">
          <cell r="E315" t="str">
            <v xml:space="preserve">Conc fino </v>
          </cell>
          <cell r="F315" t="str">
            <v>[US$/t]</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row>
        <row r="317">
          <cell r="E317" t="str">
            <v>VSB BH</v>
          </cell>
          <cell r="F317" t="str">
            <v>[R$/t]</v>
          </cell>
          <cell r="I317">
            <v>0</v>
          </cell>
          <cell r="J317">
            <v>0</v>
          </cell>
          <cell r="K317">
            <v>0</v>
          </cell>
          <cell r="L317">
            <v>0</v>
          </cell>
          <cell r="M317">
            <v>251.85071094636601</v>
          </cell>
          <cell r="N317">
            <v>232.14065530708518</v>
          </cell>
          <cell r="O317">
            <v>232.14065530708518</v>
          </cell>
          <cell r="P317">
            <v>232.14065530708518</v>
          </cell>
          <cell r="Q317">
            <v>232.14065530708518</v>
          </cell>
          <cell r="R317">
            <v>232.14065530708518</v>
          </cell>
          <cell r="S317">
            <v>232.14065530708518</v>
          </cell>
          <cell r="T317">
            <v>232.14065530708518</v>
          </cell>
          <cell r="U317">
            <v>232.14065530708518</v>
          </cell>
          <cell r="V317">
            <v>232.14065530708518</v>
          </cell>
          <cell r="W317">
            <v>232.14065530708518</v>
          </cell>
          <cell r="X317">
            <v>232.14065530708518</v>
          </cell>
          <cell r="Y317">
            <v>232.14065530708518</v>
          </cell>
          <cell r="Z317">
            <v>232.14065530708518</v>
          </cell>
          <cell r="AA317">
            <v>232.14065530708518</v>
          </cell>
          <cell r="AB317">
            <v>232.14065530708518</v>
          </cell>
          <cell r="AC317">
            <v>232.14065530708518</v>
          </cell>
          <cell r="AD317">
            <v>232.14065530708518</v>
          </cell>
          <cell r="AE317">
            <v>232.14065530708518</v>
          </cell>
          <cell r="AF317">
            <v>232.14065530708518</v>
          </cell>
          <cell r="AG317">
            <v>232.14065530708518</v>
          </cell>
          <cell r="AH317">
            <v>232.14065530708518</v>
          </cell>
          <cell r="AI317">
            <v>232.14065530708518</v>
          </cell>
          <cell r="AJ317">
            <v>232.14065530708518</v>
          </cell>
          <cell r="AK317">
            <v>232.14065530708518</v>
          </cell>
          <cell r="AL317">
            <v>232.14065530708518</v>
          </cell>
          <cell r="AM317">
            <v>232.14065530708518</v>
          </cell>
          <cell r="AN317">
            <v>232.14065530708518</v>
          </cell>
          <cell r="AO317">
            <v>232.14065530708518</v>
          </cell>
          <cell r="AP317">
            <v>232.14065530708518</v>
          </cell>
          <cell r="AQ317">
            <v>232.14065530708518</v>
          </cell>
          <cell r="AR317">
            <v>232.14065530708518</v>
          </cell>
          <cell r="AS317">
            <v>232.14065530708518</v>
          </cell>
          <cell r="AT317">
            <v>232.14065530708518</v>
          </cell>
        </row>
        <row r="319">
          <cell r="E319" t="str">
            <v>NPO</v>
          </cell>
          <cell r="F319" t="str">
            <v>[R$/t]</v>
          </cell>
          <cell r="M319">
            <v>251.85071094636601</v>
          </cell>
          <cell r="N319">
            <v>232.14065530708518</v>
          </cell>
          <cell r="O319">
            <v>232.14065530708518</v>
          </cell>
          <cell r="P319">
            <v>232.14065530708518</v>
          </cell>
          <cell r="Q319">
            <v>232.14065530708518</v>
          </cell>
          <cell r="R319">
            <v>232.14065530708518</v>
          </cell>
          <cell r="S319">
            <v>232.14065530708518</v>
          </cell>
          <cell r="T319">
            <v>232.14065530708518</v>
          </cell>
          <cell r="U319">
            <v>232.14065530708518</v>
          </cell>
          <cell r="V319">
            <v>232.14065530708518</v>
          </cell>
          <cell r="W319">
            <v>232.14065530708518</v>
          </cell>
          <cell r="X319">
            <v>232.14065530708518</v>
          </cell>
          <cell r="Y319">
            <v>232.14065530708518</v>
          </cell>
          <cell r="Z319">
            <v>232.14065530708518</v>
          </cell>
          <cell r="AA319">
            <v>232.14065530708518</v>
          </cell>
          <cell r="AB319">
            <v>232.14065530708518</v>
          </cell>
          <cell r="AC319">
            <v>232.14065530708518</v>
          </cell>
          <cell r="AD319">
            <v>232.14065530708518</v>
          </cell>
          <cell r="AE319">
            <v>232.14065530708518</v>
          </cell>
          <cell r="AF319">
            <v>232.14065530708518</v>
          </cell>
          <cell r="AG319">
            <v>232.14065530708518</v>
          </cell>
          <cell r="AH319">
            <v>232.14065530708518</v>
          </cell>
          <cell r="AI319">
            <v>232.14065530708518</v>
          </cell>
          <cell r="AJ319">
            <v>232.14065530708518</v>
          </cell>
          <cell r="AK319">
            <v>232.14065530708518</v>
          </cell>
          <cell r="AL319">
            <v>232.14065530708518</v>
          </cell>
          <cell r="AM319">
            <v>232.14065530708518</v>
          </cell>
          <cell r="AN319">
            <v>232.14065530708518</v>
          </cell>
          <cell r="AO319">
            <v>232.14065530708518</v>
          </cell>
          <cell r="AP319">
            <v>232.14065530708518</v>
          </cell>
          <cell r="AQ319">
            <v>232.14065530708518</v>
          </cell>
          <cell r="AR319">
            <v>232.14065530708518</v>
          </cell>
          <cell r="AS319">
            <v>232.14065530708518</v>
          </cell>
          <cell r="AT319">
            <v>232.14065530708518</v>
          </cell>
        </row>
        <row r="320">
          <cell r="E320" t="str">
            <v>Hematitinha</v>
          </cell>
          <cell r="F320" t="str">
            <v>[R$/t]</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row>
        <row r="321">
          <cell r="E321" t="str">
            <v>Sinter feed</v>
          </cell>
          <cell r="F321" t="str">
            <v>[R$/t]</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row>
        <row r="322">
          <cell r="E322" t="str">
            <v>Sinter feed silicoso</v>
          </cell>
          <cell r="F322" t="str">
            <v>[R$/t]</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row>
        <row r="323">
          <cell r="E323" t="str">
            <v>Pellet feed</v>
          </cell>
          <cell r="F323" t="str">
            <v>[R$/t]</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row>
        <row r="324">
          <cell r="E324" t="str">
            <v>Sinter feed blend</v>
          </cell>
          <cell r="F324" t="str">
            <v>[R$/t]</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row>
        <row r="325">
          <cell r="E325" t="str">
            <v xml:space="preserve">Conc fino </v>
          </cell>
          <cell r="F325" t="str">
            <v>[US$/t]</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row>
        <row r="327">
          <cell r="E327" t="str">
            <v>NPO</v>
          </cell>
          <cell r="F327" t="str">
            <v>[US$/t]</v>
          </cell>
          <cell r="M327">
            <v>79.267540836565672</v>
          </cell>
          <cell r="N327" t="str">
            <v xml:space="preserve"> </v>
          </cell>
          <cell r="Z327" t="str">
            <v xml:space="preserve"> </v>
          </cell>
          <cell r="AA327" t="str">
            <v xml:space="preserve"> </v>
          </cell>
          <cell r="AB327" t="str">
            <v xml:space="preserve"> </v>
          </cell>
          <cell r="AC327" t="str">
            <v xml:space="preserve"> </v>
          </cell>
          <cell r="AD327" t="str">
            <v xml:space="preserve"> </v>
          </cell>
          <cell r="AE327" t="str">
            <v xml:space="preserve"> </v>
          </cell>
          <cell r="AF327" t="str">
            <v xml:space="preserve"> </v>
          </cell>
          <cell r="AG327" t="str">
            <v xml:space="preserve"> </v>
          </cell>
          <cell r="AH327" t="str">
            <v xml:space="preserve"> </v>
          </cell>
          <cell r="AI327" t="str">
            <v xml:space="preserve"> </v>
          </cell>
          <cell r="AJ327" t="str">
            <v xml:space="preserve"> </v>
          </cell>
          <cell r="AK327" t="str">
            <v xml:space="preserve"> </v>
          </cell>
          <cell r="AL327" t="str">
            <v xml:space="preserve"> </v>
          </cell>
          <cell r="AM327" t="str">
            <v xml:space="preserve"> </v>
          </cell>
          <cell r="AN327" t="str">
            <v xml:space="preserve"> </v>
          </cell>
          <cell r="AO327" t="str">
            <v xml:space="preserve"> </v>
          </cell>
          <cell r="AP327" t="str">
            <v xml:space="preserve"> </v>
          </cell>
          <cell r="AQ327" t="str">
            <v xml:space="preserve"> </v>
          </cell>
          <cell r="AR327" t="str">
            <v xml:space="preserve"> </v>
          </cell>
          <cell r="AS327" t="str">
            <v xml:space="preserve"> </v>
          </cell>
          <cell r="AT327" t="str">
            <v xml:space="preserve"> </v>
          </cell>
        </row>
        <row r="328">
          <cell r="E328" t="str">
            <v>Hematitinha</v>
          </cell>
          <cell r="F328" t="str">
            <v>[US$/t]</v>
          </cell>
          <cell r="M328">
            <v>0</v>
          </cell>
        </row>
        <row r="329">
          <cell r="E329" t="str">
            <v>Sinter feed</v>
          </cell>
          <cell r="F329" t="str">
            <v>[US$/t]</v>
          </cell>
          <cell r="M329">
            <v>0</v>
          </cell>
        </row>
        <row r="330">
          <cell r="E330" t="str">
            <v>Sinter feed silicoso</v>
          </cell>
          <cell r="F330" t="str">
            <v>[US$/t]</v>
          </cell>
          <cell r="M330">
            <v>0</v>
          </cell>
        </row>
        <row r="331">
          <cell r="E331" t="str">
            <v>Pellet feed</v>
          </cell>
          <cell r="F331" t="str">
            <v>[US$/t]</v>
          </cell>
          <cell r="M331">
            <v>0</v>
          </cell>
        </row>
        <row r="332">
          <cell r="E332" t="str">
            <v>Sinter feed blend</v>
          </cell>
          <cell r="F332" t="str">
            <v>[US$/t]</v>
          </cell>
          <cell r="M332">
            <v>0</v>
          </cell>
        </row>
        <row r="333">
          <cell r="E333" t="str">
            <v xml:space="preserve">Conc fino </v>
          </cell>
          <cell r="F333" t="str">
            <v>[US$/t]</v>
          </cell>
          <cell r="M333">
            <v>0</v>
          </cell>
          <cell r="Z333" t="str">
            <v xml:space="preserve"> </v>
          </cell>
          <cell r="AA333" t="str">
            <v xml:space="preserve"> </v>
          </cell>
          <cell r="AB333" t="str">
            <v xml:space="preserve"> </v>
          </cell>
          <cell r="AC333" t="str">
            <v xml:space="preserve"> </v>
          </cell>
          <cell r="AD333" t="str">
            <v xml:space="preserve"> </v>
          </cell>
          <cell r="AE333" t="str">
            <v xml:space="preserve"> </v>
          </cell>
          <cell r="AF333" t="str">
            <v xml:space="preserve"> </v>
          </cell>
          <cell r="AG333" t="str">
            <v xml:space="preserve"> </v>
          </cell>
          <cell r="AH333" t="str">
            <v xml:space="preserve"> </v>
          </cell>
          <cell r="AI333" t="str">
            <v xml:space="preserve"> </v>
          </cell>
          <cell r="AJ333" t="str">
            <v xml:space="preserve"> </v>
          </cell>
          <cell r="AK333" t="str">
            <v xml:space="preserve"> </v>
          </cell>
          <cell r="AL333" t="str">
            <v xml:space="preserve"> </v>
          </cell>
          <cell r="AM333" t="str">
            <v xml:space="preserve"> </v>
          </cell>
          <cell r="AN333" t="str">
            <v xml:space="preserve"> </v>
          </cell>
          <cell r="AO333" t="str">
            <v xml:space="preserve"> </v>
          </cell>
          <cell r="AP333" t="str">
            <v xml:space="preserve"> </v>
          </cell>
          <cell r="AQ333" t="str">
            <v xml:space="preserve"> </v>
          </cell>
          <cell r="AR333" t="str">
            <v xml:space="preserve"> </v>
          </cell>
          <cell r="AS333" t="str">
            <v xml:space="preserve"> </v>
          </cell>
          <cell r="AT333" t="str">
            <v xml:space="preserve"> </v>
          </cell>
        </row>
        <row r="335">
          <cell r="E335" t="str">
            <v>VSB JEC</v>
          </cell>
          <cell r="F335" t="str">
            <v>[R$/t]</v>
          </cell>
        </row>
        <row r="337">
          <cell r="E337" t="str">
            <v>NPO</v>
          </cell>
          <cell r="F337" t="str">
            <v>[R$/t]</v>
          </cell>
          <cell r="M337">
            <v>254.70550325295522</v>
          </cell>
          <cell r="N337">
            <v>234.77202908533263</v>
          </cell>
          <cell r="O337">
            <v>234.77202908533263</v>
          </cell>
          <cell r="P337">
            <v>234.77202908533263</v>
          </cell>
          <cell r="Q337">
            <v>234.77202908533263</v>
          </cell>
          <cell r="R337">
            <v>234.77202908533263</v>
          </cell>
          <cell r="S337">
            <v>234.77202908533263</v>
          </cell>
          <cell r="T337">
            <v>234.77202908533263</v>
          </cell>
          <cell r="U337">
            <v>234.77202908533263</v>
          </cell>
          <cell r="V337">
            <v>234.77202908533263</v>
          </cell>
          <cell r="W337">
            <v>234.77202908533263</v>
          </cell>
          <cell r="X337">
            <v>234.77202908533263</v>
          </cell>
          <cell r="Y337">
            <v>234.77202908533263</v>
          </cell>
          <cell r="Z337">
            <v>234.77202908533263</v>
          </cell>
          <cell r="AA337">
            <v>234.77202908533263</v>
          </cell>
          <cell r="AB337">
            <v>234.77202908533263</v>
          </cell>
          <cell r="AC337">
            <v>234.77202908533263</v>
          </cell>
          <cell r="AD337">
            <v>234.77202908533263</v>
          </cell>
          <cell r="AE337">
            <v>234.77202908533263</v>
          </cell>
          <cell r="AF337">
            <v>234.77202908533263</v>
          </cell>
          <cell r="AG337">
            <v>234.77202908533263</v>
          </cell>
          <cell r="AH337">
            <v>234.77202908533263</v>
          </cell>
          <cell r="AI337">
            <v>234.77202908533263</v>
          </cell>
          <cell r="AJ337">
            <v>234.77202908533263</v>
          </cell>
          <cell r="AK337">
            <v>234.77202908533263</v>
          </cell>
          <cell r="AL337">
            <v>234.77202908533263</v>
          </cell>
          <cell r="AM337">
            <v>234.77202908533263</v>
          </cell>
          <cell r="AN337">
            <v>234.77202908533263</v>
          </cell>
          <cell r="AO337">
            <v>234.77202908533263</v>
          </cell>
          <cell r="AP337">
            <v>234.77202908533263</v>
          </cell>
          <cell r="AQ337">
            <v>234.77202908533263</v>
          </cell>
          <cell r="AR337">
            <v>234.77202908533263</v>
          </cell>
          <cell r="AS337">
            <v>234.77202908533263</v>
          </cell>
          <cell r="AT337">
            <v>234.77202908533263</v>
          </cell>
        </row>
        <row r="338">
          <cell r="E338" t="str">
            <v>Hematitinha</v>
          </cell>
          <cell r="F338" t="str">
            <v>[R$/t]</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row>
        <row r="339">
          <cell r="E339" t="str">
            <v>Sinter feed</v>
          </cell>
          <cell r="F339" t="str">
            <v>[R$/t]</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row>
        <row r="340">
          <cell r="E340" t="str">
            <v>Sinter feed silicoso</v>
          </cell>
          <cell r="F340" t="str">
            <v>[R$/t]</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row>
        <row r="341">
          <cell r="E341" t="str">
            <v>Pellet feed</v>
          </cell>
          <cell r="F341" t="str">
            <v>[R$/t]</v>
          </cell>
          <cell r="M341">
            <v>65.14501213922459</v>
          </cell>
          <cell r="N341">
            <v>60.046706841372234</v>
          </cell>
          <cell r="O341">
            <v>60.046706841372234</v>
          </cell>
          <cell r="P341">
            <v>60.046706841372234</v>
          </cell>
          <cell r="Q341">
            <v>60.046706841372234</v>
          </cell>
          <cell r="R341">
            <v>60.046706841372234</v>
          </cell>
          <cell r="S341">
            <v>60.046706841372234</v>
          </cell>
          <cell r="T341">
            <v>60.046706841372234</v>
          </cell>
          <cell r="U341">
            <v>60.046706841372234</v>
          </cell>
          <cell r="V341">
            <v>60.046706841372234</v>
          </cell>
          <cell r="W341">
            <v>60.046706841372234</v>
          </cell>
          <cell r="X341">
            <v>60.046706841372234</v>
          </cell>
          <cell r="Y341">
            <v>60.046706841372234</v>
          </cell>
          <cell r="Z341">
            <v>60.046706841372234</v>
          </cell>
          <cell r="AA341">
            <v>60.046706841372234</v>
          </cell>
          <cell r="AB341">
            <v>60.046706841372234</v>
          </cell>
          <cell r="AC341">
            <v>60.046706841372234</v>
          </cell>
          <cell r="AD341">
            <v>60.046706841372234</v>
          </cell>
          <cell r="AE341">
            <v>60.046706841372234</v>
          </cell>
          <cell r="AF341">
            <v>60.046706841372234</v>
          </cell>
          <cell r="AG341">
            <v>60.046706841372234</v>
          </cell>
          <cell r="AH341">
            <v>60.046706841372234</v>
          </cell>
          <cell r="AI341">
            <v>60.046706841372234</v>
          </cell>
          <cell r="AJ341">
            <v>60.046706841372234</v>
          </cell>
          <cell r="AK341">
            <v>60.046706841372234</v>
          </cell>
          <cell r="AL341">
            <v>60.046706841372234</v>
          </cell>
          <cell r="AM341">
            <v>60.046706841372234</v>
          </cell>
          <cell r="AN341">
            <v>60.046706841372234</v>
          </cell>
          <cell r="AO341">
            <v>60.046706841372234</v>
          </cell>
          <cell r="AP341">
            <v>60.046706841372234</v>
          </cell>
          <cell r="AQ341">
            <v>60.046706841372234</v>
          </cell>
          <cell r="AR341">
            <v>60.046706841372234</v>
          </cell>
          <cell r="AS341">
            <v>60.046706841372234</v>
          </cell>
          <cell r="AT341">
            <v>60.046706841372234</v>
          </cell>
        </row>
        <row r="342">
          <cell r="E342" t="str">
            <v>Sinter feed blend</v>
          </cell>
          <cell r="F342" t="str">
            <v>[R$/t]</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row>
        <row r="343">
          <cell r="E343" t="str">
            <v xml:space="preserve">Conc fino </v>
          </cell>
          <cell r="F343" t="str">
            <v>[US$/t]</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row>
        <row r="345">
          <cell r="E345" t="str">
            <v>NPO</v>
          </cell>
          <cell r="F345" t="str">
            <v>[US$/t]</v>
          </cell>
          <cell r="M345">
            <v>80.166058712064796</v>
          </cell>
          <cell r="N345" t="str">
            <v xml:space="preserve"> </v>
          </cell>
          <cell r="Z345" t="str">
            <v xml:space="preserve"> </v>
          </cell>
          <cell r="AA345" t="str">
            <v xml:space="preserve"> </v>
          </cell>
          <cell r="AB345" t="str">
            <v xml:space="preserve"> </v>
          </cell>
          <cell r="AC345" t="str">
            <v xml:space="preserve"> </v>
          </cell>
          <cell r="AD345" t="str">
            <v xml:space="preserve"> </v>
          </cell>
          <cell r="AE345" t="str">
            <v xml:space="preserve"> </v>
          </cell>
          <cell r="AF345" t="str">
            <v xml:space="preserve"> </v>
          </cell>
          <cell r="AG345" t="str">
            <v xml:space="preserve"> </v>
          </cell>
          <cell r="AH345" t="str">
            <v xml:space="preserve"> </v>
          </cell>
          <cell r="AI345" t="str">
            <v xml:space="preserve"> </v>
          </cell>
          <cell r="AJ345" t="str">
            <v xml:space="preserve"> </v>
          </cell>
          <cell r="AK345" t="str">
            <v xml:space="preserve"> </v>
          </cell>
          <cell r="AL345" t="str">
            <v xml:space="preserve"> </v>
          </cell>
          <cell r="AM345" t="str">
            <v xml:space="preserve"> </v>
          </cell>
          <cell r="AN345" t="str">
            <v xml:space="preserve"> </v>
          </cell>
          <cell r="AO345" t="str">
            <v xml:space="preserve"> </v>
          </cell>
          <cell r="AP345" t="str">
            <v xml:space="preserve"> </v>
          </cell>
          <cell r="AQ345" t="str">
            <v xml:space="preserve"> </v>
          </cell>
          <cell r="AR345" t="str">
            <v xml:space="preserve"> </v>
          </cell>
          <cell r="AS345" t="str">
            <v xml:space="preserve"> </v>
          </cell>
          <cell r="AT345" t="str">
            <v xml:space="preserve"> </v>
          </cell>
        </row>
        <row r="346">
          <cell r="E346" t="str">
            <v>Hematitinha</v>
          </cell>
          <cell r="F346" t="str">
            <v>[US$/t]</v>
          </cell>
          <cell r="M346">
            <v>0</v>
          </cell>
        </row>
        <row r="347">
          <cell r="E347" t="str">
            <v>Sinter feed</v>
          </cell>
          <cell r="F347" t="str">
            <v>[US$/t]</v>
          </cell>
          <cell r="M347">
            <v>0</v>
          </cell>
        </row>
        <row r="348">
          <cell r="E348" t="str">
            <v>Sinter feed silicoso</v>
          </cell>
          <cell r="F348" t="str">
            <v>[US$/t]</v>
          </cell>
          <cell r="M348">
            <v>0</v>
          </cell>
        </row>
        <row r="349">
          <cell r="E349" t="str">
            <v>Pellet feed</v>
          </cell>
          <cell r="F349" t="str">
            <v>[US$/t]</v>
          </cell>
          <cell r="M349">
            <v>20.503753555590517</v>
          </cell>
        </row>
        <row r="350">
          <cell r="E350" t="str">
            <v>Sinter feed blend</v>
          </cell>
          <cell r="F350" t="str">
            <v>[US$/t]</v>
          </cell>
          <cell r="M350">
            <v>0</v>
          </cell>
        </row>
        <row r="351">
          <cell r="E351" t="str">
            <v xml:space="preserve">Conc fino </v>
          </cell>
          <cell r="F351" t="str">
            <v>[US$/t]</v>
          </cell>
          <cell r="M351">
            <v>0</v>
          </cell>
          <cell r="Z351" t="str">
            <v xml:space="preserve"> </v>
          </cell>
          <cell r="AA351" t="str">
            <v xml:space="preserve"> </v>
          </cell>
          <cell r="AB351" t="str">
            <v xml:space="preserve"> </v>
          </cell>
          <cell r="AC351" t="str">
            <v xml:space="preserve"> </v>
          </cell>
          <cell r="AD351" t="str">
            <v xml:space="preserve"> </v>
          </cell>
          <cell r="AE351" t="str">
            <v xml:space="preserve"> </v>
          </cell>
          <cell r="AF351" t="str">
            <v xml:space="preserve"> </v>
          </cell>
          <cell r="AG351" t="str">
            <v xml:space="preserve"> </v>
          </cell>
          <cell r="AH351" t="str">
            <v xml:space="preserve"> </v>
          </cell>
          <cell r="AI351" t="str">
            <v xml:space="preserve"> </v>
          </cell>
          <cell r="AJ351" t="str">
            <v xml:space="preserve"> </v>
          </cell>
          <cell r="AK351" t="str">
            <v xml:space="preserve"> </v>
          </cell>
          <cell r="AL351" t="str">
            <v xml:space="preserve"> </v>
          </cell>
          <cell r="AM351" t="str">
            <v xml:space="preserve"> </v>
          </cell>
          <cell r="AN351" t="str">
            <v xml:space="preserve"> </v>
          </cell>
          <cell r="AO351" t="str">
            <v xml:space="preserve"> </v>
          </cell>
          <cell r="AP351" t="str">
            <v xml:space="preserve"> </v>
          </cell>
          <cell r="AQ351" t="str">
            <v xml:space="preserve"> </v>
          </cell>
          <cell r="AR351" t="str">
            <v xml:space="preserve"> </v>
          </cell>
          <cell r="AS351" t="str">
            <v xml:space="preserve"> </v>
          </cell>
          <cell r="AT351" t="str">
            <v xml:space="preserve"> </v>
          </cell>
        </row>
        <row r="353">
          <cell r="E353" t="str">
            <v>Other Companies</v>
          </cell>
          <cell r="F353" t="str">
            <v>[R$/t]</v>
          </cell>
        </row>
        <row r="355">
          <cell r="E355" t="str">
            <v>NPO</v>
          </cell>
          <cell r="F355" t="str">
            <v>[R$/t]</v>
          </cell>
          <cell r="I355">
            <v>249.26724216413234</v>
          </cell>
          <cell r="J355">
            <v>254.03636657099923</v>
          </cell>
          <cell r="K355">
            <v>231.44293290733697</v>
          </cell>
          <cell r="L355">
            <v>174.33291408420783</v>
          </cell>
          <cell r="M355">
            <v>199.69948416218497</v>
          </cell>
          <cell r="N355">
            <v>190.14086962393296</v>
          </cell>
          <cell r="O355">
            <v>200.34287368286942</v>
          </cell>
          <cell r="P355">
            <v>207.45253501052932</v>
          </cell>
          <cell r="Q355">
            <v>207.45253501052932</v>
          </cell>
          <cell r="R355">
            <v>207.45696336317474</v>
          </cell>
          <cell r="S355">
            <v>207.45696336317474</v>
          </cell>
          <cell r="T355">
            <v>207.45696336317474</v>
          </cell>
          <cell r="U355">
            <v>207.45696336317474</v>
          </cell>
          <cell r="V355">
            <v>207.45696336317474</v>
          </cell>
          <cell r="W355">
            <v>207.45696336317474</v>
          </cell>
          <cell r="X355">
            <v>200.35173038816021</v>
          </cell>
          <cell r="Y355">
            <v>200.35173038816021</v>
          </cell>
          <cell r="Z355">
            <v>200.35173038816021</v>
          </cell>
          <cell r="AA355">
            <v>200.35173038816021</v>
          </cell>
          <cell r="AB355">
            <v>200.35173038816021</v>
          </cell>
          <cell r="AC355">
            <v>200.35173038816021</v>
          </cell>
          <cell r="AD355">
            <v>200.35173038816021</v>
          </cell>
          <cell r="AE355">
            <v>200.35173038816021</v>
          </cell>
          <cell r="AF355">
            <v>200.35173038816021</v>
          </cell>
          <cell r="AG355">
            <v>200.35173038816021</v>
          </cell>
          <cell r="AH355">
            <v>200.35173038816021</v>
          </cell>
          <cell r="AI355">
            <v>200.35173038816021</v>
          </cell>
          <cell r="AJ355">
            <v>214.5621963381893</v>
          </cell>
          <cell r="AK355">
            <v>0</v>
          </cell>
          <cell r="AL355">
            <v>0</v>
          </cell>
          <cell r="AM355">
            <v>0</v>
          </cell>
          <cell r="AN355">
            <v>0</v>
          </cell>
          <cell r="AO355">
            <v>0</v>
          </cell>
          <cell r="AP355">
            <v>0</v>
          </cell>
          <cell r="AQ355">
            <v>0</v>
          </cell>
          <cell r="AR355">
            <v>0</v>
          </cell>
          <cell r="AS355">
            <v>0</v>
          </cell>
          <cell r="AT355">
            <v>0</v>
          </cell>
        </row>
        <row r="356">
          <cell r="E356" t="str">
            <v>Hematitinha</v>
          </cell>
          <cell r="F356" t="str">
            <v>[R$/t]</v>
          </cell>
          <cell r="I356">
            <v>191.62979474404915</v>
          </cell>
          <cell r="J356">
            <v>151.61179081475973</v>
          </cell>
          <cell r="K356">
            <v>133.04806452750682</v>
          </cell>
          <cell r="L356">
            <v>120.02146808715658</v>
          </cell>
          <cell r="M356">
            <v>87.59006612179634</v>
          </cell>
          <cell r="N356">
            <v>80.735191381829665</v>
          </cell>
          <cell r="O356">
            <v>80.735191381829665</v>
          </cell>
          <cell r="P356">
            <v>80.735191381829665</v>
          </cell>
          <cell r="Q356">
            <v>80.735191381829665</v>
          </cell>
          <cell r="R356">
            <v>80.735191381829665</v>
          </cell>
          <cell r="S356">
            <v>80.735191381829665</v>
          </cell>
          <cell r="T356">
            <v>80.735191381829665</v>
          </cell>
          <cell r="U356">
            <v>80.735191381829665</v>
          </cell>
          <cell r="V356">
            <v>80.735191381829665</v>
          </cell>
          <cell r="W356">
            <v>80.735191381829665</v>
          </cell>
          <cell r="X356">
            <v>80.735191381829665</v>
          </cell>
          <cell r="Y356">
            <v>80.735191381829665</v>
          </cell>
          <cell r="Z356">
            <v>80.735191381829665</v>
          </cell>
          <cell r="AA356">
            <v>80.735191381829665</v>
          </cell>
          <cell r="AB356">
            <v>80.735191381829665</v>
          </cell>
          <cell r="AC356">
            <v>80.735191381829665</v>
          </cell>
          <cell r="AD356">
            <v>80.735191381829665</v>
          </cell>
          <cell r="AE356">
            <v>80.735191381829665</v>
          </cell>
          <cell r="AF356">
            <v>80.735191381829665</v>
          </cell>
          <cell r="AG356">
            <v>80.735191381829665</v>
          </cell>
          <cell r="AH356">
            <v>80.735191381829665</v>
          </cell>
          <cell r="AI356">
            <v>80.735191381829665</v>
          </cell>
          <cell r="AJ356">
            <v>80.735191381829665</v>
          </cell>
          <cell r="AK356">
            <v>0</v>
          </cell>
          <cell r="AL356">
            <v>0</v>
          </cell>
          <cell r="AM356">
            <v>0</v>
          </cell>
          <cell r="AN356">
            <v>0</v>
          </cell>
          <cell r="AO356">
            <v>0</v>
          </cell>
          <cell r="AP356">
            <v>0</v>
          </cell>
          <cell r="AQ356">
            <v>0</v>
          </cell>
          <cell r="AR356">
            <v>0</v>
          </cell>
          <cell r="AS356">
            <v>0</v>
          </cell>
          <cell r="AT356">
            <v>0</v>
          </cell>
        </row>
        <row r="357">
          <cell r="E357" t="str">
            <v>Sinter feed</v>
          </cell>
          <cell r="F357" t="str">
            <v>[R$/t]</v>
          </cell>
          <cell r="I357">
            <v>115.7633188040804</v>
          </cell>
          <cell r="J357">
            <v>90.950164380317702</v>
          </cell>
          <cell r="K357">
            <v>63.751274039142594</v>
          </cell>
          <cell r="L357">
            <v>70.778112825831684</v>
          </cell>
          <cell r="M357">
            <v>84.315089891166792</v>
          </cell>
          <cell r="N357">
            <v>81.900191553476859</v>
          </cell>
          <cell r="O357">
            <v>81.900191553476859</v>
          </cell>
          <cell r="P357">
            <v>81.900191553476859</v>
          </cell>
          <cell r="Q357">
            <v>81.900191553476859</v>
          </cell>
          <cell r="R357">
            <v>81.900191553476859</v>
          </cell>
          <cell r="S357">
            <v>81.900191553476859</v>
          </cell>
          <cell r="T357">
            <v>81.900191553476859</v>
          </cell>
          <cell r="U357">
            <v>81.900191553476859</v>
          </cell>
          <cell r="V357">
            <v>81.900191553476859</v>
          </cell>
          <cell r="W357">
            <v>81.900191553476859</v>
          </cell>
          <cell r="X357">
            <v>81.900191553476859</v>
          </cell>
          <cell r="Y357">
            <v>81.900191553476859</v>
          </cell>
          <cell r="Z357">
            <v>81.900191553476859</v>
          </cell>
          <cell r="AA357">
            <v>81.900191553476859</v>
          </cell>
          <cell r="AB357">
            <v>81.900191553476859</v>
          </cell>
          <cell r="AC357">
            <v>81.900191553476859</v>
          </cell>
          <cell r="AD357">
            <v>81.900191553476859</v>
          </cell>
          <cell r="AE357">
            <v>81.900191553476859</v>
          </cell>
          <cell r="AF357">
            <v>81.900191553476859</v>
          </cell>
          <cell r="AG357">
            <v>81.900191553476859</v>
          </cell>
          <cell r="AH357">
            <v>81.900191553476859</v>
          </cell>
          <cell r="AI357">
            <v>81.900191553476859</v>
          </cell>
          <cell r="AJ357">
            <v>0</v>
          </cell>
          <cell r="AK357">
            <v>0</v>
          </cell>
          <cell r="AL357">
            <v>0</v>
          </cell>
          <cell r="AM357">
            <v>0</v>
          </cell>
          <cell r="AN357">
            <v>0</v>
          </cell>
          <cell r="AO357">
            <v>0</v>
          </cell>
          <cell r="AP357">
            <v>0</v>
          </cell>
          <cell r="AQ357">
            <v>0</v>
          </cell>
          <cell r="AR357">
            <v>0</v>
          </cell>
          <cell r="AS357">
            <v>0</v>
          </cell>
          <cell r="AT357">
            <v>0</v>
          </cell>
        </row>
        <row r="358">
          <cell r="E358" t="str">
            <v>Sinter feed silicoso</v>
          </cell>
          <cell r="F358" t="str">
            <v>[R$/t]</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row>
        <row r="359">
          <cell r="E359" t="str">
            <v>Pellet feed</v>
          </cell>
          <cell r="F359" t="str">
            <v>[R$/t]</v>
          </cell>
          <cell r="I359">
            <v>82.647115839281881</v>
          </cell>
          <cell r="J359">
            <v>0</v>
          </cell>
          <cell r="K359">
            <v>0</v>
          </cell>
          <cell r="L359">
            <v>0</v>
          </cell>
          <cell r="M359">
            <v>83.290675681061856</v>
          </cell>
          <cell r="N359">
            <v>76.77227497558745</v>
          </cell>
          <cell r="O359">
            <v>76.77227497558745</v>
          </cell>
          <cell r="P359">
            <v>76.77227497558745</v>
          </cell>
          <cell r="Q359">
            <v>76.77227497558745</v>
          </cell>
          <cell r="R359">
            <v>76.77227497558745</v>
          </cell>
          <cell r="S359">
            <v>76.77227497558745</v>
          </cell>
          <cell r="T359">
            <v>76.77227497558745</v>
          </cell>
          <cell r="U359">
            <v>76.77227497558745</v>
          </cell>
          <cell r="V359">
            <v>76.77227497558745</v>
          </cell>
          <cell r="W359">
            <v>76.77227497558745</v>
          </cell>
          <cell r="X359">
            <v>76.77227497558745</v>
          </cell>
          <cell r="Y359">
            <v>76.77227497558745</v>
          </cell>
          <cell r="Z359">
            <v>76.77227497558745</v>
          </cell>
          <cell r="AA359">
            <v>76.77227497558745</v>
          </cell>
          <cell r="AB359">
            <v>76.77227497558745</v>
          </cell>
          <cell r="AC359">
            <v>76.77227497558745</v>
          </cell>
          <cell r="AD359">
            <v>76.77227497558745</v>
          </cell>
          <cell r="AE359">
            <v>76.77227497558745</v>
          </cell>
          <cell r="AF359">
            <v>76.77227497558745</v>
          </cell>
          <cell r="AG359">
            <v>76.77227497558745</v>
          </cell>
          <cell r="AH359">
            <v>76.77227497558745</v>
          </cell>
          <cell r="AI359">
            <v>76.77227497558745</v>
          </cell>
          <cell r="AJ359">
            <v>0</v>
          </cell>
          <cell r="AK359">
            <v>0</v>
          </cell>
          <cell r="AL359">
            <v>0</v>
          </cell>
          <cell r="AM359">
            <v>0</v>
          </cell>
          <cell r="AN359">
            <v>0</v>
          </cell>
          <cell r="AO359">
            <v>0</v>
          </cell>
          <cell r="AP359">
            <v>0</v>
          </cell>
          <cell r="AQ359">
            <v>0</v>
          </cell>
          <cell r="AR359">
            <v>0</v>
          </cell>
          <cell r="AS359">
            <v>0</v>
          </cell>
          <cell r="AT359">
            <v>0</v>
          </cell>
        </row>
        <row r="360">
          <cell r="E360" t="str">
            <v>Sinter feed blend</v>
          </cell>
          <cell r="F360" t="str">
            <v>[R$/t]</v>
          </cell>
          <cell r="I360">
            <v>213.7480131152733</v>
          </cell>
          <cell r="J360">
            <v>201.24955321907657</v>
          </cell>
          <cell r="K360">
            <v>157.02174201539438</v>
          </cell>
          <cell r="L360">
            <v>121.91038458958383</v>
          </cell>
          <cell r="M360">
            <v>172.54929187030353</v>
          </cell>
          <cell r="N360">
            <v>159.04543424567109</v>
          </cell>
          <cell r="O360">
            <v>159.04543424567109</v>
          </cell>
          <cell r="P360">
            <v>159.04543424567109</v>
          </cell>
          <cell r="Q360">
            <v>159.04543424567109</v>
          </cell>
          <cell r="R360">
            <v>159.04543424567109</v>
          </cell>
          <cell r="S360">
            <v>159.04543424567109</v>
          </cell>
          <cell r="T360">
            <v>159.04543424567109</v>
          </cell>
          <cell r="U360">
            <v>159.04543424567109</v>
          </cell>
          <cell r="V360">
            <v>159.04543424567109</v>
          </cell>
          <cell r="W360">
            <v>159.04543424567109</v>
          </cell>
          <cell r="X360">
            <v>159.04543424567109</v>
          </cell>
          <cell r="Y360">
            <v>159.04543424567109</v>
          </cell>
          <cell r="Z360">
            <v>159.04543424567109</v>
          </cell>
          <cell r="AA360">
            <v>159.04543424567109</v>
          </cell>
          <cell r="AB360">
            <v>159.04543424567109</v>
          </cell>
          <cell r="AC360">
            <v>159.04543424567109</v>
          </cell>
          <cell r="AD360">
            <v>159.04543424567109</v>
          </cell>
          <cell r="AE360">
            <v>159.04543424567109</v>
          </cell>
          <cell r="AF360">
            <v>159.04543424567109</v>
          </cell>
          <cell r="AG360">
            <v>159.04543424567109</v>
          </cell>
          <cell r="AH360">
            <v>159.04543424567109</v>
          </cell>
          <cell r="AI360">
            <v>159.04543424567109</v>
          </cell>
          <cell r="AJ360">
            <v>159.04543424567112</v>
          </cell>
          <cell r="AK360">
            <v>0</v>
          </cell>
          <cell r="AL360">
            <v>0</v>
          </cell>
          <cell r="AM360">
            <v>0</v>
          </cell>
          <cell r="AN360">
            <v>0</v>
          </cell>
          <cell r="AO360">
            <v>0</v>
          </cell>
          <cell r="AP360">
            <v>0</v>
          </cell>
          <cell r="AQ360">
            <v>0</v>
          </cell>
          <cell r="AR360">
            <v>0</v>
          </cell>
          <cell r="AS360">
            <v>0</v>
          </cell>
          <cell r="AT360">
            <v>0</v>
          </cell>
        </row>
        <row r="361">
          <cell r="E361" t="str">
            <v xml:space="preserve">Conc fino </v>
          </cell>
          <cell r="F361" t="str">
            <v>[US$/t]</v>
          </cell>
          <cell r="I361">
            <v>94.385179445642407</v>
          </cell>
          <cell r="J361">
            <v>114.66389697076771</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row>
        <row r="363">
          <cell r="E363" t="str">
            <v>NPO</v>
          </cell>
          <cell r="F363" t="str">
            <v>[US$/t]</v>
          </cell>
          <cell r="I363">
            <v>115.37439283319738</v>
          </cell>
          <cell r="J363">
            <v>107.84663873060471</v>
          </cell>
          <cell r="K363">
            <v>68.272251595084654</v>
          </cell>
          <cell r="L363">
            <v>50.697310589443447</v>
          </cell>
          <cell r="M363">
            <v>62.853453763877518</v>
          </cell>
          <cell r="N363">
            <v>58.669710205911272</v>
          </cell>
          <cell r="O363">
            <v>61.790660673279035</v>
          </cell>
          <cell r="P363">
            <v>64.326435271818468</v>
          </cell>
          <cell r="Q363">
            <v>64.10113938333717</v>
          </cell>
          <cell r="R363">
            <v>64.102507708145296</v>
          </cell>
          <cell r="S363">
            <v>64.102507708145311</v>
          </cell>
          <cell r="T363">
            <v>64.102507708145311</v>
          </cell>
          <cell r="U363">
            <v>64.102507708145296</v>
          </cell>
          <cell r="V363">
            <v>64.102507708145296</v>
          </cell>
          <cell r="W363">
            <v>64.102507708145296</v>
          </cell>
          <cell r="X363">
            <v>61.907048736003205</v>
          </cell>
          <cell r="Y363">
            <v>61.907048736003212</v>
          </cell>
          <cell r="Z363">
            <v>61.907048736003212</v>
          </cell>
          <cell r="AA363">
            <v>61.907048736003212</v>
          </cell>
          <cell r="AB363">
            <v>61.907048736003212</v>
          </cell>
          <cell r="AC363">
            <v>61.907048736003212</v>
          </cell>
          <cell r="AD363">
            <v>61.907048736003212</v>
          </cell>
          <cell r="AE363">
            <v>61.907048736003212</v>
          </cell>
          <cell r="AF363">
            <v>61.907048736003219</v>
          </cell>
          <cell r="AG363">
            <v>61.907048736003212</v>
          </cell>
          <cell r="AH363">
            <v>61.907048736003212</v>
          </cell>
          <cell r="AI363">
            <v>61.907048736003212</v>
          </cell>
          <cell r="AJ363">
            <v>66.297966680287431</v>
          </cell>
          <cell r="AK363">
            <v>0</v>
          </cell>
          <cell r="AL363">
            <v>0</v>
          </cell>
          <cell r="AM363">
            <v>0</v>
          </cell>
          <cell r="AN363">
            <v>0</v>
          </cell>
          <cell r="AO363">
            <v>0</v>
          </cell>
          <cell r="AP363">
            <v>0</v>
          </cell>
          <cell r="AQ363">
            <v>0</v>
          </cell>
          <cell r="AR363">
            <v>0</v>
          </cell>
          <cell r="AS363">
            <v>0</v>
          </cell>
          <cell r="AT363">
            <v>0</v>
          </cell>
        </row>
        <row r="364">
          <cell r="E364" t="str">
            <v>Hematitinha</v>
          </cell>
          <cell r="F364" t="str">
            <v>[US$/t]</v>
          </cell>
          <cell r="I364">
            <v>88.696657552727757</v>
          </cell>
          <cell r="J364">
            <v>64.364099723216611</v>
          </cell>
          <cell r="K364">
            <v>39.247216674780773</v>
          </cell>
          <cell r="L364">
            <v>34.903137350623496</v>
          </cell>
          <cell r="M364">
            <v>27.568114130380863</v>
          </cell>
          <cell r="N364">
            <v>24.911584191021937</v>
          </cell>
          <cell r="O364">
            <v>24.900715075913592</v>
          </cell>
          <cell r="P364">
            <v>25.034194266739377</v>
          </cell>
          <cell r="Q364">
            <v>24.946514901080366</v>
          </cell>
          <cell r="R364">
            <v>24.946514901080366</v>
          </cell>
          <cell r="S364">
            <v>24.94651490108037</v>
          </cell>
          <cell r="T364">
            <v>24.94651490108037</v>
          </cell>
          <cell r="U364">
            <v>24.946514901080366</v>
          </cell>
          <cell r="V364">
            <v>24.946514901080366</v>
          </cell>
          <cell r="W364">
            <v>24.946514901080366</v>
          </cell>
          <cell r="X364">
            <v>24.94651490108037</v>
          </cell>
          <cell r="Y364">
            <v>24.946514901080374</v>
          </cell>
          <cell r="Z364">
            <v>24.946514901080374</v>
          </cell>
          <cell r="AA364">
            <v>24.946514901080374</v>
          </cell>
          <cell r="AB364">
            <v>24.946514901080374</v>
          </cell>
          <cell r="AC364">
            <v>24.946514901080374</v>
          </cell>
          <cell r="AD364">
            <v>24.946514901080374</v>
          </cell>
          <cell r="AE364">
            <v>24.946514901080374</v>
          </cell>
          <cell r="AF364">
            <v>24.946514901080374</v>
          </cell>
          <cell r="AG364">
            <v>24.946514901080374</v>
          </cell>
          <cell r="AH364">
            <v>24.946514901080374</v>
          </cell>
          <cell r="AI364">
            <v>24.946514901080374</v>
          </cell>
          <cell r="AJ364">
            <v>24.946514901080374</v>
          </cell>
          <cell r="AK364">
            <v>0</v>
          </cell>
          <cell r="AL364">
            <v>0</v>
          </cell>
          <cell r="AM364">
            <v>0</v>
          </cell>
          <cell r="AN364">
            <v>0</v>
          </cell>
          <cell r="AO364">
            <v>0</v>
          </cell>
          <cell r="AP364">
            <v>0</v>
          </cell>
          <cell r="AQ364">
            <v>0</v>
          </cell>
          <cell r="AR364">
            <v>0</v>
          </cell>
          <cell r="AS364">
            <v>0</v>
          </cell>
          <cell r="AT364">
            <v>0</v>
          </cell>
        </row>
        <row r="365">
          <cell r="E365" t="str">
            <v>Sinter feed</v>
          </cell>
          <cell r="F365" t="str">
            <v>[US$/t]</v>
          </cell>
          <cell r="I365">
            <v>53.581539649651091</v>
          </cell>
          <cell r="J365">
            <v>38.611280946942152</v>
          </cell>
          <cell r="K365">
            <v>18.8056855572692</v>
          </cell>
          <cell r="L365">
            <v>20.582802666469661</v>
          </cell>
          <cell r="M365">
            <v>26.537347486424498</v>
          </cell>
          <cell r="N365">
            <v>25.271055684949378</v>
          </cell>
          <cell r="O365">
            <v>25.260029729673189</v>
          </cell>
          <cell r="P365">
            <v>25.395435010938122</v>
          </cell>
          <cell r="Q365">
            <v>25.306490441415786</v>
          </cell>
          <cell r="R365">
            <v>25.306490441415786</v>
          </cell>
          <cell r="S365">
            <v>25.306490441415789</v>
          </cell>
          <cell r="T365">
            <v>25.306490441415789</v>
          </cell>
          <cell r="U365">
            <v>25.306490441415786</v>
          </cell>
          <cell r="V365">
            <v>25.306490441415786</v>
          </cell>
          <cell r="W365">
            <v>25.306490441415786</v>
          </cell>
          <cell r="X365">
            <v>25.306490441415789</v>
          </cell>
          <cell r="Y365">
            <v>25.306490441415793</v>
          </cell>
          <cell r="Z365">
            <v>25.306490441415793</v>
          </cell>
          <cell r="AA365">
            <v>25.306490441415793</v>
          </cell>
          <cell r="AB365">
            <v>25.306490441415793</v>
          </cell>
          <cell r="AC365">
            <v>25.306490441415793</v>
          </cell>
          <cell r="AD365">
            <v>25.306490441415793</v>
          </cell>
          <cell r="AE365">
            <v>25.306490441415793</v>
          </cell>
          <cell r="AF365">
            <v>25.306490441415797</v>
          </cell>
          <cell r="AG365">
            <v>25.306490441415793</v>
          </cell>
          <cell r="AH365">
            <v>25.306490441415793</v>
          </cell>
          <cell r="AI365">
            <v>25.306490441415793</v>
          </cell>
          <cell r="AJ365">
            <v>0</v>
          </cell>
          <cell r="AK365">
            <v>0</v>
          </cell>
          <cell r="AL365">
            <v>0</v>
          </cell>
          <cell r="AM365">
            <v>0</v>
          </cell>
          <cell r="AN365">
            <v>0</v>
          </cell>
          <cell r="AO365">
            <v>0</v>
          </cell>
          <cell r="AP365">
            <v>0</v>
          </cell>
          <cell r="AQ365">
            <v>0</v>
          </cell>
          <cell r="AR365">
            <v>0</v>
          </cell>
          <cell r="AS365">
            <v>0</v>
          </cell>
          <cell r="AT365">
            <v>0</v>
          </cell>
        </row>
        <row r="366">
          <cell r="E366" t="str">
            <v>Sinter feed silicoso</v>
          </cell>
          <cell r="F366" t="str">
            <v>[US$/t]</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row>
        <row r="367">
          <cell r="E367" t="str">
            <v>Pellet feed</v>
          </cell>
          <cell r="F367" t="str">
            <v>[US$/t]</v>
          </cell>
          <cell r="I367">
            <v>38.253565637370954</v>
          </cell>
          <cell r="J367">
            <v>0</v>
          </cell>
          <cell r="K367">
            <v>0</v>
          </cell>
          <cell r="L367">
            <v>0</v>
          </cell>
          <cell r="M367">
            <v>26.214923162395714</v>
          </cell>
          <cell r="N367">
            <v>23.68878996701142</v>
          </cell>
          <cell r="O367">
            <v>23.678454366394671</v>
          </cell>
          <cell r="P367">
            <v>23.805381682304922</v>
          </cell>
          <cell r="Q367">
            <v>23.722006090387101</v>
          </cell>
          <cell r="R367">
            <v>23.722006090387101</v>
          </cell>
          <cell r="S367">
            <v>23.722006090387104</v>
          </cell>
          <cell r="T367">
            <v>23.722006090387104</v>
          </cell>
          <cell r="U367">
            <v>23.722006090387101</v>
          </cell>
          <cell r="V367">
            <v>23.722006090387101</v>
          </cell>
          <cell r="W367">
            <v>23.722006090387101</v>
          </cell>
          <cell r="X367">
            <v>23.722006090387104</v>
          </cell>
          <cell r="Y367">
            <v>23.722006090387108</v>
          </cell>
          <cell r="Z367">
            <v>23.722006090387108</v>
          </cell>
          <cell r="AA367">
            <v>23.722006090387108</v>
          </cell>
          <cell r="AB367">
            <v>23.722006090387108</v>
          </cell>
          <cell r="AC367">
            <v>23.722006090387108</v>
          </cell>
          <cell r="AD367">
            <v>23.722006090387108</v>
          </cell>
          <cell r="AE367">
            <v>23.722006090387108</v>
          </cell>
          <cell r="AF367">
            <v>23.722006090387111</v>
          </cell>
          <cell r="AG367">
            <v>23.722006090387108</v>
          </cell>
          <cell r="AH367">
            <v>23.722006090387108</v>
          </cell>
          <cell r="AI367">
            <v>23.722006090387108</v>
          </cell>
          <cell r="AJ367">
            <v>0</v>
          </cell>
          <cell r="AK367">
            <v>0</v>
          </cell>
          <cell r="AL367">
            <v>0</v>
          </cell>
          <cell r="AM367">
            <v>0</v>
          </cell>
          <cell r="AN367">
            <v>0</v>
          </cell>
          <cell r="AO367">
            <v>0</v>
          </cell>
          <cell r="AP367">
            <v>0</v>
          </cell>
          <cell r="AQ367">
            <v>0</v>
          </cell>
          <cell r="AR367">
            <v>0</v>
          </cell>
          <cell r="AS367">
            <v>0</v>
          </cell>
          <cell r="AT367">
            <v>0</v>
          </cell>
        </row>
        <row r="368">
          <cell r="E368" t="str">
            <v>Sinter feed blend</v>
          </cell>
          <cell r="F368" t="str">
            <v>[US$/t]</v>
          </cell>
          <cell r="I368">
            <v>98.934168077483164</v>
          </cell>
          <cell r="J368">
            <v>85.436932332471386</v>
          </cell>
          <cell r="K368">
            <v>46.319097939644358</v>
          </cell>
          <cell r="L368">
            <v>35.452448346221402</v>
          </cell>
          <cell r="M368">
            <v>54.308197059497438</v>
          </cell>
          <cell r="N368">
            <v>49.074928263567443</v>
          </cell>
          <cell r="O368">
            <v>49.053516496249053</v>
          </cell>
          <cell r="P368">
            <v>49.31646571955919</v>
          </cell>
          <cell r="Q368">
            <v>49.143740510800221</v>
          </cell>
          <cell r="R368">
            <v>49.143740510800221</v>
          </cell>
          <cell r="S368">
            <v>49.143740510800228</v>
          </cell>
          <cell r="T368">
            <v>49.143740510800228</v>
          </cell>
          <cell r="U368">
            <v>49.143740510800221</v>
          </cell>
          <cell r="V368">
            <v>49.143740510800221</v>
          </cell>
          <cell r="W368">
            <v>49.143740510800221</v>
          </cell>
          <cell r="X368">
            <v>49.143740510800228</v>
          </cell>
          <cell r="Y368">
            <v>49.143740510800235</v>
          </cell>
          <cell r="Z368">
            <v>49.143740510800235</v>
          </cell>
          <cell r="AA368">
            <v>49.143740510800235</v>
          </cell>
          <cell r="AB368">
            <v>49.143740510800235</v>
          </cell>
          <cell r="AC368">
            <v>49.143740510800235</v>
          </cell>
          <cell r="AD368">
            <v>49.143740510800235</v>
          </cell>
          <cell r="AE368">
            <v>49.143740510800235</v>
          </cell>
          <cell r="AF368">
            <v>49.143740510800242</v>
          </cell>
          <cell r="AG368">
            <v>49.143740510800235</v>
          </cell>
          <cell r="AH368">
            <v>49.143740510800235</v>
          </cell>
          <cell r="AI368">
            <v>49.143740510800235</v>
          </cell>
          <cell r="AJ368">
            <v>49.143740510800242</v>
          </cell>
          <cell r="AK368">
            <v>0</v>
          </cell>
          <cell r="AL368">
            <v>0</v>
          </cell>
          <cell r="AM368">
            <v>0</v>
          </cell>
          <cell r="AN368">
            <v>0</v>
          </cell>
          <cell r="AO368">
            <v>0</v>
          </cell>
          <cell r="AP368">
            <v>0</v>
          </cell>
          <cell r="AQ368">
            <v>0</v>
          </cell>
          <cell r="AR368">
            <v>0</v>
          </cell>
          <cell r="AS368">
            <v>0</v>
          </cell>
          <cell r="AT368">
            <v>0</v>
          </cell>
        </row>
        <row r="369">
          <cell r="E369" t="str">
            <v xml:space="preserve">Conc fino </v>
          </cell>
          <cell r="F369" t="str">
            <v>[US$/t]</v>
          </cell>
          <cell r="I369">
            <v>43.686577812831871</v>
          </cell>
          <cell r="J369">
            <v>48.678525988103068</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row>
        <row r="371">
          <cell r="E371" t="str">
            <v>Client A</v>
          </cell>
          <cell r="F371" t="str">
            <v>[R$/t]</v>
          </cell>
        </row>
        <row r="373">
          <cell r="E373" t="str">
            <v>NPO</v>
          </cell>
          <cell r="F373" t="str">
            <v>[R$/t]</v>
          </cell>
          <cell r="I373">
            <v>0</v>
          </cell>
          <cell r="J373">
            <v>0</v>
          </cell>
          <cell r="K373">
            <v>0</v>
          </cell>
          <cell r="L373">
            <v>0</v>
          </cell>
          <cell r="M373">
            <v>179.79007013785667</v>
          </cell>
          <cell r="N373">
            <v>165.71954290967659</v>
          </cell>
          <cell r="O373">
            <v>165.71954290967659</v>
          </cell>
          <cell r="P373">
            <v>165.71954290967659</v>
          </cell>
          <cell r="Q373">
            <v>165.71954290967659</v>
          </cell>
          <cell r="R373">
            <v>165.71954290967659</v>
          </cell>
          <cell r="S373">
            <v>165.71954290967659</v>
          </cell>
          <cell r="T373">
            <v>165.71954290967659</v>
          </cell>
          <cell r="U373">
            <v>165.71954290967659</v>
          </cell>
          <cell r="V373">
            <v>165.71954290967659</v>
          </cell>
          <cell r="W373">
            <v>165.71954290967659</v>
          </cell>
          <cell r="X373">
            <v>165.71954290967659</v>
          </cell>
          <cell r="Y373">
            <v>165.71954290967659</v>
          </cell>
          <cell r="Z373">
            <v>165.71954290967659</v>
          </cell>
          <cell r="AA373">
            <v>165.71954290967659</v>
          </cell>
          <cell r="AB373">
            <v>165.71954290967659</v>
          </cell>
          <cell r="AC373">
            <v>165.71954290967659</v>
          </cell>
          <cell r="AD373">
            <v>165.71954290967659</v>
          </cell>
          <cell r="AE373">
            <v>165.71954290967659</v>
          </cell>
          <cell r="AF373">
            <v>165.71954290967659</v>
          </cell>
          <cell r="AG373">
            <v>165.71954290967659</v>
          </cell>
          <cell r="AH373">
            <v>165.71954290967659</v>
          </cell>
          <cell r="AI373">
            <v>165.71954290967659</v>
          </cell>
          <cell r="AJ373">
            <v>165.71954290967659</v>
          </cell>
          <cell r="AK373">
            <v>165.71954290967659</v>
          </cell>
          <cell r="AL373">
            <v>165.71954290967659</v>
          </cell>
          <cell r="AM373">
            <v>165.71954290967659</v>
          </cell>
          <cell r="AN373">
            <v>165.71954290967659</v>
          </cell>
          <cell r="AO373">
            <v>165.71954290967659</v>
          </cell>
          <cell r="AP373">
            <v>165.71954290967659</v>
          </cell>
          <cell r="AQ373">
            <v>165.71954290967659</v>
          </cell>
          <cell r="AR373">
            <v>165.71954290967659</v>
          </cell>
          <cell r="AS373">
            <v>165.71954290967659</v>
          </cell>
          <cell r="AT373">
            <v>165.71954290967659</v>
          </cell>
        </row>
        <row r="374">
          <cell r="E374" t="str">
            <v>Hematitinha</v>
          </cell>
          <cell r="F374" t="str">
            <v>[R$/t]</v>
          </cell>
          <cell r="I374">
            <v>0</v>
          </cell>
          <cell r="J374">
            <v>0</v>
          </cell>
          <cell r="K374">
            <v>0</v>
          </cell>
          <cell r="L374">
            <v>0</v>
          </cell>
          <cell r="M374">
            <v>87.59006612179634</v>
          </cell>
          <cell r="N374">
            <v>80.735191381829665</v>
          </cell>
          <cell r="O374">
            <v>80.735191381829665</v>
          </cell>
          <cell r="P374">
            <v>80.735191381829665</v>
          </cell>
          <cell r="Q374">
            <v>80.735191381829665</v>
          </cell>
          <cell r="R374">
            <v>80.735191381829665</v>
          </cell>
          <cell r="S374">
            <v>80.735191381829665</v>
          </cell>
          <cell r="T374">
            <v>80.735191381829665</v>
          </cell>
          <cell r="U374">
            <v>80.735191381829665</v>
          </cell>
          <cell r="V374">
            <v>80.735191381829665</v>
          </cell>
          <cell r="W374">
            <v>80.735191381829665</v>
          </cell>
          <cell r="X374">
            <v>80.735191381829665</v>
          </cell>
          <cell r="Y374">
            <v>80.735191381829665</v>
          </cell>
          <cell r="Z374">
            <v>80.735191381829665</v>
          </cell>
          <cell r="AA374">
            <v>80.735191381829665</v>
          </cell>
          <cell r="AB374">
            <v>80.735191381829665</v>
          </cell>
          <cell r="AC374">
            <v>80.735191381829665</v>
          </cell>
          <cell r="AD374">
            <v>80.735191381829665</v>
          </cell>
          <cell r="AE374">
            <v>80.735191381829665</v>
          </cell>
          <cell r="AF374">
            <v>80.735191381829665</v>
          </cell>
          <cell r="AG374">
            <v>80.735191381829665</v>
          </cell>
          <cell r="AH374">
            <v>80.735191381829665</v>
          </cell>
          <cell r="AI374">
            <v>80.735191381829665</v>
          </cell>
          <cell r="AJ374">
            <v>80.735191381829665</v>
          </cell>
          <cell r="AK374">
            <v>80.735191381829665</v>
          </cell>
          <cell r="AL374">
            <v>80.735191381829665</v>
          </cell>
          <cell r="AM374">
            <v>80.735191381829665</v>
          </cell>
          <cell r="AN374">
            <v>80.735191381829665</v>
          </cell>
          <cell r="AO374">
            <v>80.735191381829665</v>
          </cell>
          <cell r="AP374">
            <v>80.735191381829665</v>
          </cell>
          <cell r="AQ374">
            <v>80.735191381829665</v>
          </cell>
          <cell r="AR374">
            <v>80.735191381829665</v>
          </cell>
          <cell r="AS374">
            <v>80.735191381829665</v>
          </cell>
          <cell r="AT374">
            <v>80.735191381829665</v>
          </cell>
        </row>
        <row r="375">
          <cell r="E375" t="str">
            <v>Sinter feed</v>
          </cell>
          <cell r="F375" t="str">
            <v>[R$/t]</v>
          </cell>
          <cell r="I375">
            <v>0</v>
          </cell>
          <cell r="J375">
            <v>0</v>
          </cell>
          <cell r="K375">
            <v>0</v>
          </cell>
          <cell r="L375">
            <v>0</v>
          </cell>
          <cell r="M375">
            <v>103.33348785440394</v>
          </cell>
          <cell r="N375">
            <v>95.246519239711461</v>
          </cell>
          <cell r="O375">
            <v>95.246519239711461</v>
          </cell>
          <cell r="P375">
            <v>95.246519239711461</v>
          </cell>
          <cell r="Q375">
            <v>95.246519239711461</v>
          </cell>
          <cell r="R375">
            <v>95.246519239711461</v>
          </cell>
          <cell r="S375">
            <v>95.246519239711461</v>
          </cell>
          <cell r="T375">
            <v>95.246519239711461</v>
          </cell>
          <cell r="U375">
            <v>95.246519239711461</v>
          </cell>
          <cell r="V375">
            <v>95.246519239711461</v>
          </cell>
          <cell r="W375">
            <v>95.246519239711461</v>
          </cell>
          <cell r="X375">
            <v>95.246519239711461</v>
          </cell>
          <cell r="Y375">
            <v>95.246519239711461</v>
          </cell>
          <cell r="Z375">
            <v>95.246519239711461</v>
          </cell>
          <cell r="AA375">
            <v>95.246519239711461</v>
          </cell>
          <cell r="AB375">
            <v>95.246519239711461</v>
          </cell>
          <cell r="AC375">
            <v>95.246519239711461</v>
          </cell>
          <cell r="AD375">
            <v>95.246519239711461</v>
          </cell>
          <cell r="AE375">
            <v>95.246519239711461</v>
          </cell>
          <cell r="AF375">
            <v>95.246519239711461</v>
          </cell>
          <cell r="AG375">
            <v>95.246519239711461</v>
          </cell>
          <cell r="AH375">
            <v>95.246519239711461</v>
          </cell>
          <cell r="AI375">
            <v>95.246519239711461</v>
          </cell>
          <cell r="AJ375">
            <v>95.246519239711461</v>
          </cell>
          <cell r="AK375">
            <v>95.246519239711461</v>
          </cell>
          <cell r="AL375">
            <v>95.246519239711461</v>
          </cell>
          <cell r="AM375">
            <v>95.246519239711461</v>
          </cell>
          <cell r="AN375">
            <v>95.246519239711461</v>
          </cell>
          <cell r="AO375">
            <v>95.246519239711461</v>
          </cell>
          <cell r="AP375">
            <v>95.246519239711461</v>
          </cell>
          <cell r="AQ375">
            <v>95.246519239711461</v>
          </cell>
          <cell r="AR375">
            <v>95.246519239711461</v>
          </cell>
          <cell r="AS375">
            <v>95.246519239711461</v>
          </cell>
          <cell r="AT375">
            <v>95.246519239711461</v>
          </cell>
        </row>
        <row r="376">
          <cell r="E376" t="str">
            <v>Sinter feed silicoso</v>
          </cell>
          <cell r="F376" t="str">
            <v>[R$/t]</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row>
        <row r="377">
          <cell r="E377" t="str">
            <v>Pellet feed</v>
          </cell>
          <cell r="F377" t="str">
            <v>[R$/t]</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row>
        <row r="378">
          <cell r="E378" t="str">
            <v>Sinter feed blend</v>
          </cell>
          <cell r="F378" t="str">
            <v>[R$/t]</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row>
        <row r="379">
          <cell r="E379" t="str">
            <v>CONC. FINO</v>
          </cell>
          <cell r="F379" t="str">
            <v>[US$/t]</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row>
        <row r="381">
          <cell r="E381" t="str">
            <v>NPO</v>
          </cell>
          <cell r="F381" t="str">
            <v>[US$/t]</v>
          </cell>
          <cell r="I381">
            <v>0</v>
          </cell>
          <cell r="J381">
            <v>0</v>
          </cell>
          <cell r="K381">
            <v>0</v>
          </cell>
          <cell r="L381">
            <v>0</v>
          </cell>
          <cell r="M381">
            <v>56.587160993548096</v>
          </cell>
          <cell r="N381" t="str">
            <v xml:space="preserve"> </v>
          </cell>
          <cell r="Z381" t="str">
            <v xml:space="preserve"> </v>
          </cell>
          <cell r="AA381" t="str">
            <v xml:space="preserve"> </v>
          </cell>
          <cell r="AB381" t="str">
            <v xml:space="preserve"> </v>
          </cell>
          <cell r="AC381" t="str">
            <v xml:space="preserve"> </v>
          </cell>
          <cell r="AD381" t="str">
            <v xml:space="preserve"> </v>
          </cell>
          <cell r="AE381" t="str">
            <v xml:space="preserve"> </v>
          </cell>
          <cell r="AF381" t="str">
            <v xml:space="preserve"> </v>
          </cell>
          <cell r="AG381" t="str">
            <v xml:space="preserve"> </v>
          </cell>
          <cell r="AH381" t="str">
            <v xml:space="preserve"> </v>
          </cell>
          <cell r="AI381" t="str">
            <v xml:space="preserve"> </v>
          </cell>
          <cell r="AJ381" t="str">
            <v xml:space="preserve"> </v>
          </cell>
          <cell r="AK381" t="str">
            <v xml:space="preserve"> </v>
          </cell>
          <cell r="AL381" t="str">
            <v xml:space="preserve"> </v>
          </cell>
          <cell r="AM381" t="str">
            <v xml:space="preserve"> </v>
          </cell>
          <cell r="AN381" t="str">
            <v xml:space="preserve"> </v>
          </cell>
          <cell r="AO381" t="str">
            <v xml:space="preserve"> </v>
          </cell>
          <cell r="AP381" t="str">
            <v xml:space="preserve"> </v>
          </cell>
          <cell r="AQ381" t="str">
            <v xml:space="preserve"> </v>
          </cell>
          <cell r="AR381" t="str">
            <v xml:space="preserve"> </v>
          </cell>
          <cell r="AS381" t="str">
            <v xml:space="preserve"> </v>
          </cell>
          <cell r="AT381" t="str">
            <v xml:space="preserve"> </v>
          </cell>
        </row>
        <row r="382">
          <cell r="E382" t="str">
            <v>Hematitinha</v>
          </cell>
          <cell r="F382" t="str">
            <v>[US$/t]</v>
          </cell>
          <cell r="I382">
            <v>0</v>
          </cell>
          <cell r="J382">
            <v>0</v>
          </cell>
          <cell r="K382">
            <v>0</v>
          </cell>
          <cell r="L382">
            <v>0</v>
          </cell>
          <cell r="M382">
            <v>27.568114130380863</v>
          </cell>
        </row>
        <row r="383">
          <cell r="E383" t="str">
            <v>Sinter feed</v>
          </cell>
          <cell r="F383" t="str">
            <v>[US$/t]</v>
          </cell>
          <cell r="I383">
            <v>0</v>
          </cell>
          <cell r="J383">
            <v>0</v>
          </cell>
          <cell r="K383">
            <v>0</v>
          </cell>
          <cell r="L383">
            <v>0</v>
          </cell>
          <cell r="M383">
            <v>32.52320169160879</v>
          </cell>
        </row>
        <row r="384">
          <cell r="E384" t="str">
            <v>Sinter feed silicoso</v>
          </cell>
          <cell r="F384" t="str">
            <v>[US$/t]</v>
          </cell>
          <cell r="I384">
            <v>0</v>
          </cell>
          <cell r="J384">
            <v>0</v>
          </cell>
          <cell r="K384">
            <v>0</v>
          </cell>
          <cell r="L384">
            <v>0</v>
          </cell>
          <cell r="M384">
            <v>0</v>
          </cell>
        </row>
        <row r="385">
          <cell r="E385" t="str">
            <v>Pellet feed</v>
          </cell>
          <cell r="F385" t="str">
            <v>[US$/t]</v>
          </cell>
          <cell r="I385">
            <v>0</v>
          </cell>
          <cell r="J385">
            <v>0</v>
          </cell>
          <cell r="K385">
            <v>0</v>
          </cell>
          <cell r="L385">
            <v>0</v>
          </cell>
          <cell r="M385">
            <v>0</v>
          </cell>
        </row>
        <row r="386">
          <cell r="E386" t="str">
            <v>Sinter feed blend</v>
          </cell>
          <cell r="F386" t="str">
            <v>[US$/t]</v>
          </cell>
          <cell r="I386">
            <v>0</v>
          </cell>
          <cell r="J386">
            <v>0</v>
          </cell>
          <cell r="K386">
            <v>0</v>
          </cell>
          <cell r="L386">
            <v>0</v>
          </cell>
          <cell r="M386">
            <v>0</v>
          </cell>
        </row>
        <row r="387">
          <cell r="E387" t="str">
            <v>CONC. FINO</v>
          </cell>
          <cell r="F387" t="str">
            <v>[US$/t]</v>
          </cell>
          <cell r="I387">
            <v>0</v>
          </cell>
          <cell r="J387">
            <v>0</v>
          </cell>
          <cell r="K387">
            <v>0</v>
          </cell>
          <cell r="L387">
            <v>0</v>
          </cell>
          <cell r="M387">
            <v>0</v>
          </cell>
          <cell r="Z387" t="str">
            <v xml:space="preserve"> </v>
          </cell>
          <cell r="AA387" t="str">
            <v xml:space="preserve"> </v>
          </cell>
          <cell r="AB387" t="str">
            <v xml:space="preserve"> </v>
          </cell>
          <cell r="AC387" t="str">
            <v xml:space="preserve"> </v>
          </cell>
          <cell r="AD387" t="str">
            <v xml:space="preserve"> </v>
          </cell>
          <cell r="AE387" t="str">
            <v xml:space="preserve"> </v>
          </cell>
          <cell r="AF387" t="str">
            <v xml:space="preserve"> </v>
          </cell>
          <cell r="AG387" t="str">
            <v xml:space="preserve"> </v>
          </cell>
          <cell r="AH387" t="str">
            <v xml:space="preserve"> </v>
          </cell>
          <cell r="AI387" t="str">
            <v xml:space="preserve"> </v>
          </cell>
          <cell r="AJ387" t="str">
            <v xml:space="preserve"> </v>
          </cell>
          <cell r="AK387" t="str">
            <v xml:space="preserve"> </v>
          </cell>
          <cell r="AL387" t="str">
            <v xml:space="preserve"> </v>
          </cell>
          <cell r="AM387" t="str">
            <v xml:space="preserve"> </v>
          </cell>
          <cell r="AN387" t="str">
            <v xml:space="preserve"> </v>
          </cell>
          <cell r="AO387" t="str">
            <v xml:space="preserve"> </v>
          </cell>
          <cell r="AP387" t="str">
            <v xml:space="preserve"> </v>
          </cell>
          <cell r="AQ387" t="str">
            <v xml:space="preserve"> </v>
          </cell>
          <cell r="AR387" t="str">
            <v xml:space="preserve"> </v>
          </cell>
          <cell r="AS387" t="str">
            <v xml:space="preserve"> </v>
          </cell>
          <cell r="AT387" t="str">
            <v xml:space="preserve"> </v>
          </cell>
        </row>
        <row r="389">
          <cell r="E389" t="str">
            <v>Client B</v>
          </cell>
          <cell r="F389" t="str">
            <v>[R$/t]</v>
          </cell>
        </row>
        <row r="391">
          <cell r="E391" t="str">
            <v>NPO</v>
          </cell>
          <cell r="F391" t="str">
            <v>[R$/t]</v>
          </cell>
          <cell r="M391">
            <v>232.7797413102997</v>
          </cell>
          <cell r="N391">
            <v>214.5621963381893</v>
          </cell>
          <cell r="O391">
            <v>214.5621963381893</v>
          </cell>
          <cell r="P391">
            <v>214.5621963381893</v>
          </cell>
          <cell r="Q391">
            <v>214.5621963381893</v>
          </cell>
          <cell r="R391">
            <v>214.5621963381893</v>
          </cell>
          <cell r="S391">
            <v>214.5621963381893</v>
          </cell>
          <cell r="T391">
            <v>214.5621963381893</v>
          </cell>
          <cell r="U391">
            <v>214.5621963381893</v>
          </cell>
          <cell r="V391">
            <v>214.5621963381893</v>
          </cell>
          <cell r="W391">
            <v>214.5621963381893</v>
          </cell>
          <cell r="X391">
            <v>214.5621963381893</v>
          </cell>
          <cell r="Y391">
            <v>214.5621963381893</v>
          </cell>
          <cell r="Z391">
            <v>214.5621963381893</v>
          </cell>
          <cell r="AA391">
            <v>214.5621963381893</v>
          </cell>
          <cell r="AB391">
            <v>214.5621963381893</v>
          </cell>
          <cell r="AC391">
            <v>214.5621963381893</v>
          </cell>
          <cell r="AD391">
            <v>214.5621963381893</v>
          </cell>
          <cell r="AE391">
            <v>214.5621963381893</v>
          </cell>
          <cell r="AF391">
            <v>214.5621963381893</v>
          </cell>
          <cell r="AG391">
            <v>214.5621963381893</v>
          </cell>
          <cell r="AH391">
            <v>214.5621963381893</v>
          </cell>
          <cell r="AI391">
            <v>214.5621963381893</v>
          </cell>
          <cell r="AJ391">
            <v>214.5621963381893</v>
          </cell>
          <cell r="AK391">
            <v>214.5621963381893</v>
          </cell>
          <cell r="AL391">
            <v>214.5621963381893</v>
          </cell>
          <cell r="AM391">
            <v>214.5621963381893</v>
          </cell>
          <cell r="AN391">
            <v>214.5621963381893</v>
          </cell>
          <cell r="AO391">
            <v>214.5621963381893</v>
          </cell>
          <cell r="AP391">
            <v>214.5621963381893</v>
          </cell>
          <cell r="AQ391">
            <v>214.5621963381893</v>
          </cell>
          <cell r="AR391">
            <v>214.5621963381893</v>
          </cell>
          <cell r="AS391">
            <v>214.5621963381893</v>
          </cell>
          <cell r="AT391">
            <v>214.5621963381893</v>
          </cell>
        </row>
        <row r="392">
          <cell r="E392" t="str">
            <v>Hematitinha</v>
          </cell>
          <cell r="F392" t="str">
            <v>[R$/t]</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row>
        <row r="393">
          <cell r="E393" t="str">
            <v>Sinter feed</v>
          </cell>
          <cell r="F393" t="str">
            <v>[R$/t]</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row>
        <row r="394">
          <cell r="E394" t="str">
            <v>Sinter feed silicoso</v>
          </cell>
          <cell r="F394" t="str">
            <v>[R$/t]</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row>
        <row r="395">
          <cell r="E395" t="str">
            <v>Pellet feed</v>
          </cell>
          <cell r="F395" t="str">
            <v>[R$/t]</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row>
        <row r="396">
          <cell r="E396" t="str">
            <v>Sinter feed blend</v>
          </cell>
          <cell r="F396" t="str">
            <v>[R$/t]</v>
          </cell>
          <cell r="M396">
            <v>172.54929187030353</v>
          </cell>
          <cell r="N396">
            <v>159.04543424567109</v>
          </cell>
          <cell r="O396">
            <v>159.04543424567109</v>
          </cell>
          <cell r="P396">
            <v>159.04543424567109</v>
          </cell>
          <cell r="Q396">
            <v>159.04543424567109</v>
          </cell>
          <cell r="R396">
            <v>159.04543424567109</v>
          </cell>
          <cell r="S396">
            <v>159.04543424567109</v>
          </cell>
          <cell r="T396">
            <v>159.04543424567109</v>
          </cell>
          <cell r="U396">
            <v>159.04543424567109</v>
          </cell>
          <cell r="V396">
            <v>159.04543424567109</v>
          </cell>
          <cell r="W396">
            <v>159.04543424567109</v>
          </cell>
          <cell r="X396">
            <v>159.04543424567109</v>
          </cell>
          <cell r="Y396">
            <v>159.04543424567109</v>
          </cell>
          <cell r="Z396">
            <v>159.04543424567109</v>
          </cell>
          <cell r="AA396">
            <v>159.04543424567109</v>
          </cell>
          <cell r="AB396">
            <v>159.04543424567109</v>
          </cell>
          <cell r="AC396">
            <v>159.04543424567109</v>
          </cell>
          <cell r="AD396">
            <v>159.04543424567109</v>
          </cell>
          <cell r="AE396">
            <v>159.04543424567109</v>
          </cell>
          <cell r="AF396">
            <v>159.04543424567109</v>
          </cell>
          <cell r="AG396">
            <v>159.04543424567109</v>
          </cell>
          <cell r="AH396">
            <v>159.04543424567109</v>
          </cell>
          <cell r="AI396">
            <v>159.04543424567109</v>
          </cell>
          <cell r="AJ396">
            <v>159.04543424567109</v>
          </cell>
          <cell r="AK396">
            <v>159.04543424567109</v>
          </cell>
          <cell r="AL396">
            <v>159.04543424567109</v>
          </cell>
          <cell r="AM396">
            <v>159.04543424567109</v>
          </cell>
          <cell r="AN396">
            <v>159.04543424567109</v>
          </cell>
          <cell r="AO396">
            <v>159.04543424567109</v>
          </cell>
          <cell r="AP396">
            <v>159.04543424567109</v>
          </cell>
          <cell r="AQ396">
            <v>159.04543424567109</v>
          </cell>
          <cell r="AR396">
            <v>159.04543424567109</v>
          </cell>
          <cell r="AS396">
            <v>159.04543424567109</v>
          </cell>
          <cell r="AT396">
            <v>159.04543424567109</v>
          </cell>
        </row>
        <row r="397">
          <cell r="E397" t="str">
            <v>CONC. FINO</v>
          </cell>
          <cell r="F397" t="str">
            <v>[US$/t]</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row>
        <row r="399">
          <cell r="E399" t="str">
            <v>NPO</v>
          </cell>
          <cell r="F399" t="str">
            <v>[US$/t]</v>
          </cell>
          <cell r="M399">
            <v>73.26514021304024</v>
          </cell>
          <cell r="N399" t="str">
            <v xml:space="preserve"> </v>
          </cell>
          <cell r="Z399" t="str">
            <v xml:space="preserve"> </v>
          </cell>
          <cell r="AA399" t="str">
            <v xml:space="preserve"> </v>
          </cell>
          <cell r="AB399" t="str">
            <v xml:space="preserve"> </v>
          </cell>
          <cell r="AC399" t="str">
            <v xml:space="preserve"> </v>
          </cell>
          <cell r="AD399" t="str">
            <v xml:space="preserve"> </v>
          </cell>
          <cell r="AE399" t="str">
            <v xml:space="preserve"> </v>
          </cell>
          <cell r="AF399" t="str">
            <v xml:space="preserve"> </v>
          </cell>
          <cell r="AG399" t="str">
            <v xml:space="preserve"> </v>
          </cell>
          <cell r="AH399" t="str">
            <v xml:space="preserve"> </v>
          </cell>
          <cell r="AI399" t="str">
            <v xml:space="preserve"> </v>
          </cell>
          <cell r="AJ399" t="str">
            <v xml:space="preserve"> </v>
          </cell>
          <cell r="AK399" t="str">
            <v xml:space="preserve"> </v>
          </cell>
          <cell r="AL399" t="str">
            <v xml:space="preserve"> </v>
          </cell>
          <cell r="AM399" t="str">
            <v xml:space="preserve"> </v>
          </cell>
          <cell r="AN399" t="str">
            <v xml:space="preserve"> </v>
          </cell>
          <cell r="AO399" t="str">
            <v xml:space="preserve"> </v>
          </cell>
          <cell r="AP399" t="str">
            <v xml:space="preserve"> </v>
          </cell>
          <cell r="AQ399" t="str">
            <v xml:space="preserve"> </v>
          </cell>
          <cell r="AR399" t="str">
            <v xml:space="preserve"> </v>
          </cell>
          <cell r="AS399" t="str">
            <v xml:space="preserve"> </v>
          </cell>
          <cell r="AT399" t="str">
            <v xml:space="preserve"> </v>
          </cell>
        </row>
        <row r="400">
          <cell r="E400" t="str">
            <v>Hematitinha</v>
          </cell>
          <cell r="F400" t="str">
            <v>[US$/t]</v>
          </cell>
          <cell r="M400">
            <v>0</v>
          </cell>
        </row>
        <row r="401">
          <cell r="E401" t="str">
            <v>Sinter feed</v>
          </cell>
          <cell r="F401" t="str">
            <v>[US$/t]</v>
          </cell>
          <cell r="M401">
            <v>0</v>
          </cell>
        </row>
        <row r="402">
          <cell r="E402" t="str">
            <v>Sinter feed silicoso</v>
          </cell>
          <cell r="F402" t="str">
            <v>[US$/t]</v>
          </cell>
          <cell r="M402">
            <v>0</v>
          </cell>
        </row>
        <row r="403">
          <cell r="E403" t="str">
            <v>Pellet feed</v>
          </cell>
          <cell r="F403" t="str">
            <v>[US$/t]</v>
          </cell>
          <cell r="M403">
            <v>0</v>
          </cell>
        </row>
        <row r="404">
          <cell r="E404" t="str">
            <v>Sinter feed blend</v>
          </cell>
          <cell r="F404" t="str">
            <v>[US$/t]</v>
          </cell>
          <cell r="M404">
            <v>54.308197059497438</v>
          </cell>
        </row>
        <row r="405">
          <cell r="E405" t="str">
            <v>CONC. FINO</v>
          </cell>
          <cell r="F405" t="str">
            <v>[US$/t]</v>
          </cell>
          <cell r="M405">
            <v>0</v>
          </cell>
          <cell r="Z405" t="str">
            <v xml:space="preserve"> </v>
          </cell>
          <cell r="AA405" t="str">
            <v xml:space="preserve"> </v>
          </cell>
          <cell r="AB405" t="str">
            <v xml:space="preserve"> </v>
          </cell>
          <cell r="AC405" t="str">
            <v xml:space="preserve"> </v>
          </cell>
          <cell r="AD405" t="str">
            <v xml:space="preserve"> </v>
          </cell>
          <cell r="AE405" t="str">
            <v xml:space="preserve"> </v>
          </cell>
          <cell r="AF405" t="str">
            <v xml:space="preserve"> </v>
          </cell>
          <cell r="AG405" t="str">
            <v xml:space="preserve"> </v>
          </cell>
          <cell r="AH405" t="str">
            <v xml:space="preserve"> </v>
          </cell>
          <cell r="AI405" t="str">
            <v xml:space="preserve"> </v>
          </cell>
          <cell r="AJ405" t="str">
            <v xml:space="preserve"> </v>
          </cell>
          <cell r="AK405" t="str">
            <v xml:space="preserve"> </v>
          </cell>
          <cell r="AL405" t="str">
            <v xml:space="preserve"> </v>
          </cell>
          <cell r="AM405" t="str">
            <v xml:space="preserve"> </v>
          </cell>
          <cell r="AN405" t="str">
            <v xml:space="preserve"> </v>
          </cell>
          <cell r="AO405" t="str">
            <v xml:space="preserve"> </v>
          </cell>
          <cell r="AP405" t="str">
            <v xml:space="preserve"> </v>
          </cell>
          <cell r="AQ405" t="str">
            <v xml:space="preserve"> </v>
          </cell>
          <cell r="AR405" t="str">
            <v xml:space="preserve"> </v>
          </cell>
          <cell r="AS405" t="str">
            <v xml:space="preserve"> </v>
          </cell>
          <cell r="AT405" t="str">
            <v xml:space="preserve"> </v>
          </cell>
        </row>
        <row r="407">
          <cell r="E407" t="str">
            <v>Client C</v>
          </cell>
          <cell r="F407" t="str">
            <v>[R$/t]</v>
          </cell>
        </row>
        <row r="409">
          <cell r="E409" t="str">
            <v>NPO</v>
          </cell>
          <cell r="F409" t="str">
            <v>[R$/t]</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row>
        <row r="410">
          <cell r="E410" t="str">
            <v>Hematitinha</v>
          </cell>
          <cell r="F410" t="str">
            <v>[R$/t]</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row>
        <row r="411">
          <cell r="E411" t="str">
            <v>Sinter feed</v>
          </cell>
          <cell r="F411" t="str">
            <v>[R$/t]</v>
          </cell>
          <cell r="M411">
            <v>83.16680925942417</v>
          </cell>
          <cell r="N411">
            <v>76.658102447817058</v>
          </cell>
          <cell r="O411">
            <v>76.658102447817058</v>
          </cell>
          <cell r="P411">
            <v>76.658102447817058</v>
          </cell>
          <cell r="Q411">
            <v>76.658102447817058</v>
          </cell>
          <cell r="R411">
            <v>76.658102447817058</v>
          </cell>
          <cell r="S411">
            <v>76.658102447817058</v>
          </cell>
          <cell r="T411">
            <v>76.658102447817058</v>
          </cell>
          <cell r="U411">
            <v>76.658102447817058</v>
          </cell>
          <cell r="V411">
            <v>76.658102447817058</v>
          </cell>
          <cell r="W411">
            <v>76.658102447817058</v>
          </cell>
          <cell r="X411">
            <v>76.658102447817058</v>
          </cell>
          <cell r="Y411">
            <v>76.658102447817058</v>
          </cell>
          <cell r="Z411">
            <v>76.658102447817058</v>
          </cell>
          <cell r="AA411">
            <v>76.658102447817058</v>
          </cell>
          <cell r="AB411">
            <v>76.658102447817058</v>
          </cell>
          <cell r="AC411">
            <v>76.658102447817058</v>
          </cell>
          <cell r="AD411">
            <v>76.658102447817058</v>
          </cell>
          <cell r="AE411">
            <v>76.658102447817058</v>
          </cell>
          <cell r="AF411">
            <v>76.658102447817058</v>
          </cell>
          <cell r="AG411">
            <v>76.658102447817058</v>
          </cell>
          <cell r="AH411">
            <v>76.658102447817058</v>
          </cell>
          <cell r="AI411">
            <v>76.658102447817058</v>
          </cell>
          <cell r="AJ411">
            <v>76.658102447817058</v>
          </cell>
          <cell r="AK411">
            <v>76.658102447817058</v>
          </cell>
          <cell r="AL411">
            <v>76.658102447817058</v>
          </cell>
          <cell r="AM411">
            <v>76.658102447817058</v>
          </cell>
          <cell r="AN411">
            <v>76.658102447817058</v>
          </cell>
          <cell r="AO411">
            <v>76.658102447817058</v>
          </cell>
          <cell r="AP411">
            <v>76.658102447817058</v>
          </cell>
          <cell r="AQ411">
            <v>76.658102447817058</v>
          </cell>
          <cell r="AR411">
            <v>76.658102447817058</v>
          </cell>
          <cell r="AS411">
            <v>76.658102447817058</v>
          </cell>
          <cell r="AT411">
            <v>76.658102447817058</v>
          </cell>
        </row>
        <row r="412">
          <cell r="E412" t="str">
            <v>Sinter feed silicoso</v>
          </cell>
          <cell r="F412" t="str">
            <v>[R$/t]</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row>
        <row r="413">
          <cell r="E413" t="str">
            <v>Pellet feed</v>
          </cell>
          <cell r="F413" t="str">
            <v>[R$/t]</v>
          </cell>
          <cell r="M413">
            <v>83.290675681061856</v>
          </cell>
          <cell r="N413">
            <v>76.77227497558745</v>
          </cell>
          <cell r="O413">
            <v>76.77227497558745</v>
          </cell>
          <cell r="P413">
            <v>76.77227497558745</v>
          </cell>
          <cell r="Q413">
            <v>76.77227497558745</v>
          </cell>
          <cell r="R413">
            <v>76.77227497558745</v>
          </cell>
          <cell r="S413">
            <v>76.77227497558745</v>
          </cell>
          <cell r="T413">
            <v>76.77227497558745</v>
          </cell>
          <cell r="U413">
            <v>76.77227497558745</v>
          </cell>
          <cell r="V413">
            <v>76.77227497558745</v>
          </cell>
          <cell r="W413">
            <v>76.77227497558745</v>
          </cell>
          <cell r="X413">
            <v>76.77227497558745</v>
          </cell>
          <cell r="Y413">
            <v>76.77227497558745</v>
          </cell>
          <cell r="Z413">
            <v>76.77227497558745</v>
          </cell>
          <cell r="AA413">
            <v>76.77227497558745</v>
          </cell>
          <cell r="AB413">
            <v>76.77227497558745</v>
          </cell>
          <cell r="AC413">
            <v>76.77227497558745</v>
          </cell>
          <cell r="AD413">
            <v>76.77227497558745</v>
          </cell>
          <cell r="AE413">
            <v>76.77227497558745</v>
          </cell>
          <cell r="AF413">
            <v>76.77227497558745</v>
          </cell>
          <cell r="AG413">
            <v>76.77227497558745</v>
          </cell>
          <cell r="AH413">
            <v>76.77227497558745</v>
          </cell>
          <cell r="AI413">
            <v>76.77227497558745</v>
          </cell>
          <cell r="AJ413">
            <v>76.77227497558745</v>
          </cell>
          <cell r="AK413">
            <v>76.77227497558745</v>
          </cell>
          <cell r="AL413">
            <v>76.77227497558745</v>
          </cell>
          <cell r="AM413">
            <v>76.77227497558745</v>
          </cell>
          <cell r="AN413">
            <v>76.77227497558745</v>
          </cell>
          <cell r="AO413">
            <v>76.77227497558745</v>
          </cell>
          <cell r="AP413">
            <v>76.77227497558745</v>
          </cell>
          <cell r="AQ413">
            <v>76.77227497558745</v>
          </cell>
          <cell r="AR413">
            <v>76.77227497558745</v>
          </cell>
          <cell r="AS413">
            <v>76.77227497558745</v>
          </cell>
          <cell r="AT413">
            <v>76.77227497558745</v>
          </cell>
        </row>
        <row r="414">
          <cell r="E414" t="str">
            <v>Sinter feed blend</v>
          </cell>
          <cell r="F414" t="str">
            <v>[R$/t]</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row>
        <row r="415">
          <cell r="E415" t="str">
            <v>CONC. FINO</v>
          </cell>
          <cell r="F415" t="str">
            <v>[US$/t]</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row>
        <row r="417">
          <cell r="E417" t="str">
            <v>NPO</v>
          </cell>
          <cell r="F417" t="str">
            <v>[US$/t]</v>
          </cell>
          <cell r="M417">
            <v>0</v>
          </cell>
          <cell r="N417" t="str">
            <v xml:space="preserve"> </v>
          </cell>
          <cell r="Z417" t="str">
            <v xml:space="preserve"> </v>
          </cell>
          <cell r="AA417" t="str">
            <v xml:space="preserve"> </v>
          </cell>
          <cell r="AB417" t="str">
            <v xml:space="preserve"> </v>
          </cell>
          <cell r="AC417" t="str">
            <v xml:space="preserve"> </v>
          </cell>
          <cell r="AD417" t="str">
            <v xml:space="preserve"> </v>
          </cell>
          <cell r="AE417" t="str">
            <v xml:space="preserve"> </v>
          </cell>
          <cell r="AF417" t="str">
            <v xml:space="preserve"> </v>
          </cell>
          <cell r="AG417" t="str">
            <v xml:space="preserve"> </v>
          </cell>
          <cell r="AH417" t="str">
            <v xml:space="preserve"> </v>
          </cell>
          <cell r="AI417" t="str">
            <v xml:space="preserve"> </v>
          </cell>
          <cell r="AJ417" t="str">
            <v xml:space="preserve"> </v>
          </cell>
          <cell r="AK417" t="str">
            <v xml:space="preserve"> </v>
          </cell>
          <cell r="AL417" t="str">
            <v xml:space="preserve"> </v>
          </cell>
          <cell r="AM417" t="str">
            <v xml:space="preserve"> </v>
          </cell>
          <cell r="AN417" t="str">
            <v xml:space="preserve"> </v>
          </cell>
          <cell r="AO417" t="str">
            <v xml:space="preserve"> </v>
          </cell>
          <cell r="AP417" t="str">
            <v xml:space="preserve"> </v>
          </cell>
          <cell r="AQ417" t="str">
            <v xml:space="preserve"> </v>
          </cell>
          <cell r="AR417" t="str">
            <v xml:space="preserve"> </v>
          </cell>
          <cell r="AS417" t="str">
            <v xml:space="preserve"> </v>
          </cell>
          <cell r="AT417" t="str">
            <v xml:space="preserve"> </v>
          </cell>
        </row>
        <row r="418">
          <cell r="E418" t="str">
            <v>Hematitinha</v>
          </cell>
          <cell r="F418" t="str">
            <v>[US$/t]</v>
          </cell>
          <cell r="M418">
            <v>0</v>
          </cell>
        </row>
        <row r="419">
          <cell r="E419" t="str">
            <v>Sinter feed</v>
          </cell>
          <cell r="F419" t="str">
            <v>[US$/t]</v>
          </cell>
          <cell r="M419">
            <v>26.175937421205823</v>
          </cell>
        </row>
        <row r="420">
          <cell r="E420" t="str">
            <v>Sinter feed silicoso</v>
          </cell>
          <cell r="F420" t="str">
            <v>[US$/t]</v>
          </cell>
          <cell r="M420">
            <v>0</v>
          </cell>
        </row>
        <row r="421">
          <cell r="E421" t="str">
            <v>Pellet feed</v>
          </cell>
          <cell r="F421" t="str">
            <v>[US$/t]</v>
          </cell>
          <cell r="M421">
            <v>26.214923162395714</v>
          </cell>
        </row>
        <row r="422">
          <cell r="E422" t="str">
            <v>Sinter feed blend</v>
          </cell>
          <cell r="F422" t="str">
            <v>[US$/t]</v>
          </cell>
          <cell r="M422">
            <v>0</v>
          </cell>
        </row>
        <row r="423">
          <cell r="E423" t="str">
            <v>CONC. FINO</v>
          </cell>
          <cell r="F423" t="str">
            <v>[US$/t]</v>
          </cell>
          <cell r="M423">
            <v>0</v>
          </cell>
          <cell r="Z423" t="str">
            <v xml:space="preserve"> </v>
          </cell>
          <cell r="AA423" t="str">
            <v xml:space="preserve"> </v>
          </cell>
          <cell r="AB423" t="str">
            <v xml:space="preserve"> </v>
          </cell>
          <cell r="AC423" t="str">
            <v xml:space="preserve"> </v>
          </cell>
          <cell r="AD423" t="str">
            <v xml:space="preserve"> </v>
          </cell>
          <cell r="AE423" t="str">
            <v xml:space="preserve"> </v>
          </cell>
          <cell r="AF423" t="str">
            <v xml:space="preserve"> </v>
          </cell>
          <cell r="AG423" t="str">
            <v xml:space="preserve"> </v>
          </cell>
          <cell r="AH423" t="str">
            <v xml:space="preserve"> </v>
          </cell>
          <cell r="AI423" t="str">
            <v xml:space="preserve"> </v>
          </cell>
          <cell r="AJ423" t="str">
            <v xml:space="preserve"> </v>
          </cell>
          <cell r="AK423" t="str">
            <v xml:space="preserve"> </v>
          </cell>
          <cell r="AL423" t="str">
            <v xml:space="preserve"> </v>
          </cell>
          <cell r="AM423" t="str">
            <v xml:space="preserve"> </v>
          </cell>
          <cell r="AN423" t="str">
            <v xml:space="preserve"> </v>
          </cell>
          <cell r="AO423" t="str">
            <v xml:space="preserve"> </v>
          </cell>
          <cell r="AP423" t="str">
            <v xml:space="preserve"> </v>
          </cell>
          <cell r="AQ423" t="str">
            <v xml:space="preserve"> </v>
          </cell>
          <cell r="AR423" t="str">
            <v xml:space="preserve"> </v>
          </cell>
          <cell r="AS423" t="str">
            <v xml:space="preserve"> </v>
          </cell>
          <cell r="AT423" t="str">
            <v xml:space="preserve"> </v>
          </cell>
        </row>
        <row r="426">
          <cell r="E426" t="str">
            <v>Gross Revenue</v>
          </cell>
          <cell r="I426">
            <v>2013</v>
          </cell>
          <cell r="J426">
            <v>2014</v>
          </cell>
          <cell r="K426">
            <v>2015</v>
          </cell>
          <cell r="L426">
            <v>2016</v>
          </cell>
          <cell r="M426">
            <v>2017</v>
          </cell>
          <cell r="N426">
            <v>2018</v>
          </cell>
          <cell r="O426">
            <v>2019</v>
          </cell>
          <cell r="P426">
            <v>2020</v>
          </cell>
          <cell r="Q426">
            <v>2021</v>
          </cell>
          <cell r="R426">
            <v>2022</v>
          </cell>
          <cell r="S426">
            <v>2023</v>
          </cell>
          <cell r="T426">
            <v>2024</v>
          </cell>
          <cell r="U426">
            <v>2025</v>
          </cell>
          <cell r="V426">
            <v>2026</v>
          </cell>
          <cell r="W426">
            <v>2027</v>
          </cell>
          <cell r="X426">
            <v>2028</v>
          </cell>
          <cell r="Y426">
            <v>2029</v>
          </cell>
          <cell r="Z426">
            <v>2030</v>
          </cell>
          <cell r="AA426">
            <v>2031</v>
          </cell>
          <cell r="AB426">
            <v>2032</v>
          </cell>
          <cell r="AC426">
            <v>2033</v>
          </cell>
          <cell r="AD426">
            <v>2034</v>
          </cell>
          <cell r="AE426">
            <v>2035</v>
          </cell>
          <cell r="AF426">
            <v>2036</v>
          </cell>
          <cell r="AG426">
            <v>2037</v>
          </cell>
          <cell r="AH426">
            <v>2038</v>
          </cell>
          <cell r="AI426">
            <v>2039</v>
          </cell>
          <cell r="AJ426">
            <v>2040</v>
          </cell>
          <cell r="AK426">
            <v>2041</v>
          </cell>
          <cell r="AL426">
            <v>2042</v>
          </cell>
          <cell r="AM426">
            <v>2043</v>
          </cell>
          <cell r="AN426">
            <v>2044</v>
          </cell>
          <cell r="AO426">
            <v>2045</v>
          </cell>
          <cell r="AP426">
            <v>2046</v>
          </cell>
          <cell r="AQ426">
            <v>2047</v>
          </cell>
          <cell r="AR426">
            <v>2048</v>
          </cell>
          <cell r="AS426">
            <v>2049</v>
          </cell>
          <cell r="AT426">
            <v>2050</v>
          </cell>
        </row>
        <row r="428">
          <cell r="E428" t="str">
            <v>Gross Revenue</v>
          </cell>
          <cell r="F428" t="str">
            <v>[R$ '000]</v>
          </cell>
          <cell r="I428">
            <v>572425.94493</v>
          </cell>
          <cell r="J428">
            <v>524310.82520000008</v>
          </cell>
          <cell r="K428">
            <v>374231.11357999995</v>
          </cell>
          <cell r="L428">
            <v>371519.15296999988</v>
          </cell>
          <cell r="M428">
            <v>459958.53799554409</v>
          </cell>
          <cell r="N428">
            <v>482088.40766283456</v>
          </cell>
          <cell r="O428">
            <v>588781.43678220618</v>
          </cell>
          <cell r="P428">
            <v>1321769.2277752541</v>
          </cell>
          <cell r="Q428">
            <v>1317968.3055413826</v>
          </cell>
          <cell r="R428">
            <v>1320556.8155130302</v>
          </cell>
          <cell r="S428">
            <v>1320556.8155130302</v>
          </cell>
          <cell r="T428">
            <v>1320556.8155130299</v>
          </cell>
          <cell r="U428">
            <v>1320556.8155130299</v>
          </cell>
          <cell r="V428">
            <v>1320556.8155130302</v>
          </cell>
          <cell r="W428">
            <v>1320556.8155130302</v>
          </cell>
          <cell r="X428">
            <v>1090231.9309151566</v>
          </cell>
          <cell r="Y428">
            <v>1090158.0647925206</v>
          </cell>
          <cell r="Z428">
            <v>1090158.0647925206</v>
          </cell>
          <cell r="AA428">
            <v>1090158.0647925206</v>
          </cell>
          <cell r="AB428">
            <v>1090158.0647925206</v>
          </cell>
          <cell r="AC428">
            <v>1090158.0647925206</v>
          </cell>
          <cell r="AD428">
            <v>1090158.0647925206</v>
          </cell>
          <cell r="AE428">
            <v>1090158.0647925206</v>
          </cell>
          <cell r="AF428">
            <v>1090158.0647925206</v>
          </cell>
          <cell r="AG428">
            <v>1090158.0647925204</v>
          </cell>
          <cell r="AH428">
            <v>1090158.0647925206</v>
          </cell>
          <cell r="AI428">
            <v>1090158.0647925206</v>
          </cell>
          <cell r="AJ428">
            <v>1110335.3474471674</v>
          </cell>
          <cell r="AK428">
            <v>1003343.223178892</v>
          </cell>
          <cell r="AL428">
            <v>1003343.2231788925</v>
          </cell>
          <cell r="AM428">
            <v>1003343.2231788925</v>
          </cell>
          <cell r="AN428">
            <v>1003343.2231788925</v>
          </cell>
          <cell r="AO428">
            <v>1003343.2231788922</v>
          </cell>
          <cell r="AP428">
            <v>738181.87042891234</v>
          </cell>
          <cell r="AQ428">
            <v>0</v>
          </cell>
          <cell r="AR428">
            <v>0</v>
          </cell>
          <cell r="AS428">
            <v>0</v>
          </cell>
          <cell r="AT428">
            <v>0</v>
          </cell>
        </row>
        <row r="429">
          <cell r="E429" t="str">
            <v>Domestic</v>
          </cell>
          <cell r="F429" t="str">
            <v>[R$ '000]</v>
          </cell>
          <cell r="I429">
            <v>572425.94493</v>
          </cell>
          <cell r="J429">
            <v>524310.82520000008</v>
          </cell>
          <cell r="K429">
            <v>374231.11357999995</v>
          </cell>
          <cell r="L429">
            <v>371519.15296999988</v>
          </cell>
          <cell r="M429">
            <v>459958.53799554409</v>
          </cell>
          <cell r="N429">
            <v>482088.40766283456</v>
          </cell>
          <cell r="O429">
            <v>396458.08038462693</v>
          </cell>
          <cell r="P429">
            <v>608901.36420174735</v>
          </cell>
          <cell r="Q429">
            <v>608901.36420174735</v>
          </cell>
          <cell r="R429">
            <v>608997.72086568992</v>
          </cell>
          <cell r="S429">
            <v>608997.72086568992</v>
          </cell>
          <cell r="T429">
            <v>608997.72086568992</v>
          </cell>
          <cell r="U429">
            <v>608997.72086568992</v>
          </cell>
          <cell r="V429">
            <v>608997.72086568992</v>
          </cell>
          <cell r="W429">
            <v>608997.72086568992</v>
          </cell>
          <cell r="X429">
            <v>396506.25871659815</v>
          </cell>
          <cell r="Y429">
            <v>396432.39259396226</v>
          </cell>
          <cell r="Z429">
            <v>396432.39259396226</v>
          </cell>
          <cell r="AA429">
            <v>396432.39259396226</v>
          </cell>
          <cell r="AB429">
            <v>396432.39259396226</v>
          </cell>
          <cell r="AC429">
            <v>396432.39259396226</v>
          </cell>
          <cell r="AD429">
            <v>396432.39259396226</v>
          </cell>
          <cell r="AE429">
            <v>396432.39259396226</v>
          </cell>
          <cell r="AF429">
            <v>396432.39259396226</v>
          </cell>
          <cell r="AG429">
            <v>396432.39259396226</v>
          </cell>
          <cell r="AH429">
            <v>396432.39259396226</v>
          </cell>
          <cell r="AI429">
            <v>396432.39259396226</v>
          </cell>
          <cell r="AJ429">
            <v>127787.21822101722</v>
          </cell>
          <cell r="AK429">
            <v>0</v>
          </cell>
          <cell r="AL429">
            <v>0</v>
          </cell>
          <cell r="AM429">
            <v>0</v>
          </cell>
          <cell r="AN429">
            <v>0</v>
          </cell>
          <cell r="AO429">
            <v>0</v>
          </cell>
          <cell r="AP429">
            <v>0</v>
          </cell>
          <cell r="AQ429">
            <v>0</v>
          </cell>
          <cell r="AR429">
            <v>0</v>
          </cell>
          <cell r="AS429">
            <v>0</v>
          </cell>
          <cell r="AT429">
            <v>0</v>
          </cell>
        </row>
        <row r="430">
          <cell r="E430" t="str">
            <v>Export</v>
          </cell>
          <cell r="F430" t="str">
            <v>[R$ '000]</v>
          </cell>
          <cell r="I430">
            <v>0</v>
          </cell>
          <cell r="J430">
            <v>0</v>
          </cell>
          <cell r="K430">
            <v>0</v>
          </cell>
          <cell r="L430">
            <v>0</v>
          </cell>
          <cell r="M430">
            <v>0</v>
          </cell>
          <cell r="N430">
            <v>0</v>
          </cell>
          <cell r="O430">
            <v>192323.35639757931</v>
          </cell>
          <cell r="P430">
            <v>712867.86357350671</v>
          </cell>
          <cell r="Q430">
            <v>709066.94133963541</v>
          </cell>
          <cell r="R430">
            <v>711559.09464734024</v>
          </cell>
          <cell r="S430">
            <v>711559.09464734024</v>
          </cell>
          <cell r="T430">
            <v>711559.09464734001</v>
          </cell>
          <cell r="U430">
            <v>711559.09464734001</v>
          </cell>
          <cell r="V430">
            <v>711559.09464734024</v>
          </cell>
          <cell r="W430">
            <v>711559.09464734024</v>
          </cell>
          <cell r="X430">
            <v>693725.67219855846</v>
          </cell>
          <cell r="Y430">
            <v>693725.67219855834</v>
          </cell>
          <cell r="Z430">
            <v>693725.67219855834</v>
          </cell>
          <cell r="AA430">
            <v>693725.67219855834</v>
          </cell>
          <cell r="AB430">
            <v>693725.67219855834</v>
          </cell>
          <cell r="AC430">
            <v>693725.67219855834</v>
          </cell>
          <cell r="AD430">
            <v>693725.67219855834</v>
          </cell>
          <cell r="AE430">
            <v>693725.67219855834</v>
          </cell>
          <cell r="AF430">
            <v>693725.67219855834</v>
          </cell>
          <cell r="AG430">
            <v>693725.67219855823</v>
          </cell>
          <cell r="AH430">
            <v>693725.67219855834</v>
          </cell>
          <cell r="AI430">
            <v>693725.67219855834</v>
          </cell>
          <cell r="AJ430">
            <v>982548.12922615022</v>
          </cell>
          <cell r="AK430">
            <v>1003343.223178892</v>
          </cell>
          <cell r="AL430">
            <v>1003343.2231788925</v>
          </cell>
          <cell r="AM430">
            <v>1003343.2231788925</v>
          </cell>
          <cell r="AN430">
            <v>1003343.2231788925</v>
          </cell>
          <cell r="AO430">
            <v>1003343.2231788922</v>
          </cell>
          <cell r="AP430">
            <v>738181.87042891234</v>
          </cell>
          <cell r="AQ430">
            <v>0</v>
          </cell>
          <cell r="AR430">
            <v>0</v>
          </cell>
          <cell r="AS430">
            <v>0</v>
          </cell>
          <cell r="AT430">
            <v>0</v>
          </cell>
        </row>
        <row r="432">
          <cell r="E432" t="str">
            <v>Export Gross Revenue</v>
          </cell>
          <cell r="F432" t="str">
            <v>[R$ '000]</v>
          </cell>
          <cell r="I432">
            <v>0</v>
          </cell>
          <cell r="J432">
            <v>0</v>
          </cell>
          <cell r="K432">
            <v>0</v>
          </cell>
          <cell r="L432">
            <v>0</v>
          </cell>
          <cell r="M432">
            <v>0</v>
          </cell>
          <cell r="N432">
            <v>0</v>
          </cell>
          <cell r="O432">
            <v>192323.35639757931</v>
          </cell>
          <cell r="P432">
            <v>712867.86357350671</v>
          </cell>
          <cell r="Q432">
            <v>709066.94133963541</v>
          </cell>
          <cell r="R432">
            <v>711559.09464734024</v>
          </cell>
          <cell r="S432">
            <v>711559.09464734024</v>
          </cell>
          <cell r="T432">
            <v>711559.09464734001</v>
          </cell>
          <cell r="U432">
            <v>711559.09464734001</v>
          </cell>
          <cell r="V432">
            <v>711559.09464734024</v>
          </cell>
          <cell r="W432">
            <v>711559.09464734024</v>
          </cell>
          <cell r="X432">
            <v>693725.67219855846</v>
          </cell>
          <cell r="Y432">
            <v>693725.67219855834</v>
          </cell>
          <cell r="Z432">
            <v>693725.67219855834</v>
          </cell>
          <cell r="AA432">
            <v>693725.67219855834</v>
          </cell>
          <cell r="AB432">
            <v>693725.67219855834</v>
          </cell>
          <cell r="AC432">
            <v>693725.67219855834</v>
          </cell>
          <cell r="AD432">
            <v>693725.67219855834</v>
          </cell>
          <cell r="AE432">
            <v>693725.67219855834</v>
          </cell>
          <cell r="AF432">
            <v>693725.67219855834</v>
          </cell>
          <cell r="AG432">
            <v>693725.67219855823</v>
          </cell>
          <cell r="AH432">
            <v>693725.67219855834</v>
          </cell>
          <cell r="AI432">
            <v>693725.67219855834</v>
          </cell>
          <cell r="AJ432">
            <v>982548.12922615022</v>
          </cell>
          <cell r="AK432">
            <v>1003343.223178892</v>
          </cell>
          <cell r="AL432">
            <v>1003343.2231788925</v>
          </cell>
          <cell r="AM432">
            <v>1003343.2231788925</v>
          </cell>
          <cell r="AN432">
            <v>1003343.2231788925</v>
          </cell>
          <cell r="AO432">
            <v>1003343.2231788922</v>
          </cell>
          <cell r="AP432">
            <v>738181.87042891234</v>
          </cell>
          <cell r="AQ432">
            <v>0</v>
          </cell>
          <cell r="AR432">
            <v>0</v>
          </cell>
          <cell r="AS432">
            <v>0</v>
          </cell>
          <cell r="AT432">
            <v>0</v>
          </cell>
        </row>
        <row r="434">
          <cell r="E434" t="str">
            <v>NPO</v>
          </cell>
          <cell r="F434" t="str">
            <v>[R$ '000]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row>
        <row r="435">
          <cell r="E435" t="str">
            <v>Hematitinha</v>
          </cell>
          <cell r="F435" t="str">
            <v>[R$ '000]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row>
        <row r="436">
          <cell r="E436" t="str">
            <v>Sinter feed</v>
          </cell>
          <cell r="F436" t="str">
            <v>[R$ '000]</v>
          </cell>
          <cell r="I436">
            <v>0</v>
          </cell>
          <cell r="J436">
            <v>0</v>
          </cell>
          <cell r="K436">
            <v>0</v>
          </cell>
          <cell r="L436">
            <v>0</v>
          </cell>
          <cell r="M436">
            <v>0</v>
          </cell>
          <cell r="N436">
            <v>0</v>
          </cell>
          <cell r="O436">
            <v>0</v>
          </cell>
          <cell r="P436">
            <v>233981.7874586492</v>
          </cell>
          <cell r="Q436">
            <v>232734.22585050721</v>
          </cell>
          <cell r="R436">
            <v>233552.21543224354</v>
          </cell>
          <cell r="S436">
            <v>233552.21543224354</v>
          </cell>
          <cell r="T436">
            <v>233552.21543224348</v>
          </cell>
          <cell r="U436">
            <v>233552.21543224348</v>
          </cell>
          <cell r="V436">
            <v>233552.21543224354</v>
          </cell>
          <cell r="W436">
            <v>233552.21543224354</v>
          </cell>
          <cell r="X436">
            <v>0</v>
          </cell>
          <cell r="Y436">
            <v>0</v>
          </cell>
          <cell r="Z436">
            <v>0</v>
          </cell>
          <cell r="AA436">
            <v>0</v>
          </cell>
          <cell r="AB436">
            <v>0</v>
          </cell>
          <cell r="AC436">
            <v>0</v>
          </cell>
          <cell r="AD436">
            <v>0</v>
          </cell>
          <cell r="AE436">
            <v>0</v>
          </cell>
          <cell r="AF436">
            <v>0</v>
          </cell>
          <cell r="AG436">
            <v>0</v>
          </cell>
          <cell r="AH436">
            <v>0</v>
          </cell>
          <cell r="AI436">
            <v>0</v>
          </cell>
          <cell r="AJ436">
            <v>140501.48611852777</v>
          </cell>
          <cell r="AK436">
            <v>0</v>
          </cell>
          <cell r="AL436">
            <v>0</v>
          </cell>
          <cell r="AM436">
            <v>0</v>
          </cell>
          <cell r="AN436">
            <v>0</v>
          </cell>
          <cell r="AO436">
            <v>0</v>
          </cell>
          <cell r="AP436">
            <v>0</v>
          </cell>
          <cell r="AQ436">
            <v>0</v>
          </cell>
          <cell r="AR436">
            <v>0</v>
          </cell>
          <cell r="AS436">
            <v>0</v>
          </cell>
          <cell r="AT436">
            <v>0</v>
          </cell>
        </row>
        <row r="437">
          <cell r="E437" t="str">
            <v>Sinter feed silicoso</v>
          </cell>
          <cell r="F437" t="str">
            <v>[R$ '000]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row>
        <row r="438">
          <cell r="E438" t="str">
            <v>Pellet feed</v>
          </cell>
          <cell r="F438" t="str">
            <v>[R$ '000]</v>
          </cell>
          <cell r="I438">
            <v>0</v>
          </cell>
          <cell r="J438">
            <v>0</v>
          </cell>
          <cell r="K438">
            <v>0</v>
          </cell>
          <cell r="L438">
            <v>0</v>
          </cell>
          <cell r="M438">
            <v>0</v>
          </cell>
          <cell r="N438">
            <v>0</v>
          </cell>
          <cell r="O438">
            <v>192323.35639757931</v>
          </cell>
          <cell r="P438">
            <v>478886.07611485745</v>
          </cell>
          <cell r="Q438">
            <v>476332.7154891282</v>
          </cell>
          <cell r="R438">
            <v>478006.87921509671</v>
          </cell>
          <cell r="S438">
            <v>478006.87921509671</v>
          </cell>
          <cell r="T438">
            <v>478006.87921509659</v>
          </cell>
          <cell r="U438">
            <v>478006.87921509659</v>
          </cell>
          <cell r="V438">
            <v>478006.87921509671</v>
          </cell>
          <cell r="W438">
            <v>478006.87921509671</v>
          </cell>
          <cell r="X438">
            <v>693725.67219855846</v>
          </cell>
          <cell r="Y438">
            <v>693725.67219855834</v>
          </cell>
          <cell r="Z438">
            <v>693725.67219855834</v>
          </cell>
          <cell r="AA438">
            <v>693725.67219855834</v>
          </cell>
          <cell r="AB438">
            <v>693725.67219855834</v>
          </cell>
          <cell r="AC438">
            <v>693725.67219855834</v>
          </cell>
          <cell r="AD438">
            <v>693725.67219855834</v>
          </cell>
          <cell r="AE438">
            <v>693725.67219855834</v>
          </cell>
          <cell r="AF438">
            <v>693725.67219855834</v>
          </cell>
          <cell r="AG438">
            <v>693725.67219855823</v>
          </cell>
          <cell r="AH438">
            <v>693725.67219855834</v>
          </cell>
          <cell r="AI438">
            <v>693725.67219855834</v>
          </cell>
          <cell r="AJ438">
            <v>842046.6431076224</v>
          </cell>
          <cell r="AK438">
            <v>1003343.223178892</v>
          </cell>
          <cell r="AL438">
            <v>1003343.2231788925</v>
          </cell>
          <cell r="AM438">
            <v>1003343.2231788925</v>
          </cell>
          <cell r="AN438">
            <v>1003343.2231788925</v>
          </cell>
          <cell r="AO438">
            <v>1003343.2231788922</v>
          </cell>
          <cell r="AP438">
            <v>738181.87042891234</v>
          </cell>
          <cell r="AQ438">
            <v>0</v>
          </cell>
          <cell r="AR438">
            <v>0</v>
          </cell>
          <cell r="AS438">
            <v>0</v>
          </cell>
          <cell r="AT438">
            <v>0</v>
          </cell>
        </row>
        <row r="439">
          <cell r="E439" t="str">
            <v>Sinter feed blend</v>
          </cell>
          <cell r="F439" t="str">
            <v>[R$ '000]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row>
        <row r="441">
          <cell r="E441" t="str">
            <v xml:space="preserve">Domestic Gross Revenue </v>
          </cell>
          <cell r="F441" t="str">
            <v>[R$ '000]</v>
          </cell>
          <cell r="I441">
            <v>572425.94493</v>
          </cell>
          <cell r="J441">
            <v>524310.82520000008</v>
          </cell>
          <cell r="K441">
            <v>374231.11357999995</v>
          </cell>
          <cell r="L441">
            <v>371519.15296999988</v>
          </cell>
          <cell r="M441">
            <v>459958.53799554409</v>
          </cell>
          <cell r="N441">
            <v>482088.40766283456</v>
          </cell>
          <cell r="O441">
            <v>396458.08038462693</v>
          </cell>
          <cell r="P441">
            <v>608901.36420174735</v>
          </cell>
          <cell r="Q441">
            <v>608901.36420174735</v>
          </cell>
          <cell r="R441">
            <v>608997.72086568992</v>
          </cell>
          <cell r="S441">
            <v>608997.72086568992</v>
          </cell>
          <cell r="T441">
            <v>608997.72086568992</v>
          </cell>
          <cell r="U441">
            <v>608997.72086568992</v>
          </cell>
          <cell r="V441">
            <v>608997.72086568992</v>
          </cell>
          <cell r="W441">
            <v>608997.72086568992</v>
          </cell>
          <cell r="X441">
            <v>396506.25871659815</v>
          </cell>
          <cell r="Y441">
            <v>396432.39259396226</v>
          </cell>
          <cell r="Z441">
            <v>396432.39259396226</v>
          </cell>
          <cell r="AA441">
            <v>396432.39259396226</v>
          </cell>
          <cell r="AB441">
            <v>396432.39259396226</v>
          </cell>
          <cell r="AC441">
            <v>396432.39259396226</v>
          </cell>
          <cell r="AD441">
            <v>396432.39259396226</v>
          </cell>
          <cell r="AE441">
            <v>396432.39259396226</v>
          </cell>
          <cell r="AF441">
            <v>396432.39259396226</v>
          </cell>
          <cell r="AG441">
            <v>396432.39259396226</v>
          </cell>
          <cell r="AH441">
            <v>396432.39259396226</v>
          </cell>
          <cell r="AI441">
            <v>396432.39259396226</v>
          </cell>
          <cell r="AJ441">
            <v>127787.21822101722</v>
          </cell>
          <cell r="AK441">
            <v>0</v>
          </cell>
          <cell r="AL441">
            <v>0</v>
          </cell>
          <cell r="AM441">
            <v>0</v>
          </cell>
          <cell r="AN441">
            <v>0</v>
          </cell>
          <cell r="AO441">
            <v>0</v>
          </cell>
          <cell r="AP441">
            <v>0</v>
          </cell>
          <cell r="AQ441">
            <v>0</v>
          </cell>
          <cell r="AR441">
            <v>0</v>
          </cell>
          <cell r="AS441">
            <v>0</v>
          </cell>
          <cell r="AT441">
            <v>0</v>
          </cell>
        </row>
        <row r="443">
          <cell r="E443" t="str">
            <v>NPO</v>
          </cell>
          <cell r="F443" t="str">
            <v>[R$ '000]</v>
          </cell>
          <cell r="I443">
            <v>159588.86308000004</v>
          </cell>
          <cell r="J443">
            <v>94127.139259999967</v>
          </cell>
          <cell r="K443">
            <v>76418.303969999994</v>
          </cell>
          <cell r="L443">
            <v>65324.151089999985</v>
          </cell>
          <cell r="M443">
            <v>66605.772774694356</v>
          </cell>
          <cell r="N443">
            <v>74990.356189399099</v>
          </cell>
          <cell r="O443">
            <v>72178.620472960494</v>
          </cell>
          <cell r="P443">
            <v>149480.11392090644</v>
          </cell>
          <cell r="Q443">
            <v>149480.11392090644</v>
          </cell>
          <cell r="R443">
            <v>149576.47058484898</v>
          </cell>
          <cell r="S443">
            <v>149576.47058484898</v>
          </cell>
          <cell r="T443">
            <v>149576.47058484898</v>
          </cell>
          <cell r="U443">
            <v>149576.47058484898</v>
          </cell>
          <cell r="V443">
            <v>149576.47058484898</v>
          </cell>
          <cell r="W443">
            <v>149576.47058484898</v>
          </cell>
          <cell r="X443">
            <v>72226.79880493175</v>
          </cell>
          <cell r="Y443">
            <v>72226.79880493175</v>
          </cell>
          <cell r="Z443">
            <v>72226.79880493175</v>
          </cell>
          <cell r="AA443">
            <v>72226.79880493175</v>
          </cell>
          <cell r="AB443">
            <v>72226.79880493175</v>
          </cell>
          <cell r="AC443">
            <v>72226.79880493175</v>
          </cell>
          <cell r="AD443">
            <v>72226.79880493175</v>
          </cell>
          <cell r="AE443">
            <v>72226.79880493175</v>
          </cell>
          <cell r="AF443">
            <v>72226.79880493175</v>
          </cell>
          <cell r="AG443">
            <v>72226.79880493175</v>
          </cell>
          <cell r="AH443">
            <v>72226.79880493175</v>
          </cell>
          <cell r="AI443">
            <v>72226.79880493175</v>
          </cell>
          <cell r="AJ443">
            <v>46532.394547169657</v>
          </cell>
          <cell r="AK443">
            <v>0</v>
          </cell>
          <cell r="AL443">
            <v>0</v>
          </cell>
          <cell r="AM443">
            <v>0</v>
          </cell>
          <cell r="AN443">
            <v>0</v>
          </cell>
          <cell r="AO443">
            <v>0</v>
          </cell>
          <cell r="AP443">
            <v>0</v>
          </cell>
          <cell r="AQ443">
            <v>0</v>
          </cell>
          <cell r="AR443">
            <v>0</v>
          </cell>
          <cell r="AS443">
            <v>0</v>
          </cell>
          <cell r="AT443">
            <v>0</v>
          </cell>
        </row>
        <row r="444">
          <cell r="E444" t="str">
            <v>Hematitinha</v>
          </cell>
          <cell r="F444" t="str">
            <v>[R$ '000]</v>
          </cell>
          <cell r="I444">
            <v>52940.716010000004</v>
          </cell>
          <cell r="J444">
            <v>39674.506599999993</v>
          </cell>
          <cell r="K444">
            <v>19535.511190000001</v>
          </cell>
          <cell r="L444">
            <v>19852.983119999997</v>
          </cell>
          <cell r="M444">
            <v>5080.2238350641883</v>
          </cell>
          <cell r="N444">
            <v>16897.166602004992</v>
          </cell>
          <cell r="O444">
            <v>16897.166602004992</v>
          </cell>
          <cell r="P444">
            <v>33794.333204009985</v>
          </cell>
          <cell r="Q444">
            <v>33794.333204009985</v>
          </cell>
          <cell r="R444">
            <v>33794.333204009985</v>
          </cell>
          <cell r="S444">
            <v>33794.333204009985</v>
          </cell>
          <cell r="T444">
            <v>33794.333204009985</v>
          </cell>
          <cell r="U444">
            <v>33794.333204009985</v>
          </cell>
          <cell r="V444">
            <v>33794.333204009985</v>
          </cell>
          <cell r="W444">
            <v>33794.333204009985</v>
          </cell>
          <cell r="X444">
            <v>16897.166602004992</v>
          </cell>
          <cell r="Y444">
            <v>16897.166602004992</v>
          </cell>
          <cell r="Z444">
            <v>16897.166602004992</v>
          </cell>
          <cell r="AA444">
            <v>16897.166602004992</v>
          </cell>
          <cell r="AB444">
            <v>16897.166602004992</v>
          </cell>
          <cell r="AC444">
            <v>16897.166602004992</v>
          </cell>
          <cell r="AD444">
            <v>16897.166602004992</v>
          </cell>
          <cell r="AE444">
            <v>16897.166602004992</v>
          </cell>
          <cell r="AF444">
            <v>16897.166602004992</v>
          </cell>
          <cell r="AG444">
            <v>16897.166602004992</v>
          </cell>
          <cell r="AH444">
            <v>16897.166602004992</v>
          </cell>
          <cell r="AI444">
            <v>16897.166602004992</v>
          </cell>
          <cell r="AJ444">
            <v>10165.080277146015</v>
          </cell>
          <cell r="AK444">
            <v>0</v>
          </cell>
          <cell r="AL444">
            <v>0</v>
          </cell>
          <cell r="AM444">
            <v>0</v>
          </cell>
          <cell r="AN444">
            <v>0</v>
          </cell>
          <cell r="AO444">
            <v>0</v>
          </cell>
          <cell r="AP444">
            <v>0</v>
          </cell>
          <cell r="AQ444">
            <v>0</v>
          </cell>
          <cell r="AR444">
            <v>0</v>
          </cell>
          <cell r="AS444">
            <v>0</v>
          </cell>
          <cell r="AT444">
            <v>0</v>
          </cell>
        </row>
        <row r="445">
          <cell r="E445" t="str">
            <v>Sinter feed</v>
          </cell>
          <cell r="F445" t="str">
            <v>[R$ '000]</v>
          </cell>
          <cell r="I445">
            <v>176256.65656000006</v>
          </cell>
          <cell r="J445">
            <v>134462.18277000001</v>
          </cell>
          <cell r="K445">
            <v>114329.31822999999</v>
          </cell>
          <cell r="L445">
            <v>128063.72180999989</v>
          </cell>
          <cell r="M445">
            <v>94770.161037671482</v>
          </cell>
          <cell r="N445">
            <v>137367.52108970663</v>
          </cell>
          <cell r="O445">
            <v>137367.52108970663</v>
          </cell>
          <cell r="P445">
            <v>137367.52108970663</v>
          </cell>
          <cell r="Q445">
            <v>137367.52108970663</v>
          </cell>
          <cell r="R445">
            <v>137367.52108970663</v>
          </cell>
          <cell r="S445">
            <v>137367.52108970663</v>
          </cell>
          <cell r="T445">
            <v>137367.52108970663</v>
          </cell>
          <cell r="U445">
            <v>137367.52108970663</v>
          </cell>
          <cell r="V445">
            <v>137367.52108970663</v>
          </cell>
          <cell r="W445">
            <v>137367.52108970663</v>
          </cell>
          <cell r="X445">
            <v>137367.52108970663</v>
          </cell>
          <cell r="Y445">
            <v>137367.52108970663</v>
          </cell>
          <cell r="Z445">
            <v>137367.52108970663</v>
          </cell>
          <cell r="AA445">
            <v>137367.52108970663</v>
          </cell>
          <cell r="AB445">
            <v>137367.52108970663</v>
          </cell>
          <cell r="AC445">
            <v>137367.52108970663</v>
          </cell>
          <cell r="AD445">
            <v>137367.52108970663</v>
          </cell>
          <cell r="AE445">
            <v>137367.52108970663</v>
          </cell>
          <cell r="AF445">
            <v>137367.52108970663</v>
          </cell>
          <cell r="AG445">
            <v>137367.52108970663</v>
          </cell>
          <cell r="AH445">
            <v>137367.52108970663</v>
          </cell>
          <cell r="AI445">
            <v>137367.52108970663</v>
          </cell>
          <cell r="AJ445">
            <v>0</v>
          </cell>
          <cell r="AK445">
            <v>0</v>
          </cell>
          <cell r="AL445">
            <v>0</v>
          </cell>
          <cell r="AM445">
            <v>0</v>
          </cell>
          <cell r="AN445">
            <v>0</v>
          </cell>
          <cell r="AO445">
            <v>0</v>
          </cell>
          <cell r="AP445">
            <v>0</v>
          </cell>
          <cell r="AQ445">
            <v>0</v>
          </cell>
          <cell r="AR445">
            <v>0</v>
          </cell>
          <cell r="AS445">
            <v>0</v>
          </cell>
          <cell r="AT445">
            <v>0</v>
          </cell>
        </row>
        <row r="446">
          <cell r="E446" t="str">
            <v>Sinter feed silicoso</v>
          </cell>
          <cell r="F446" t="str">
            <v>[R$ '000]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row>
        <row r="447">
          <cell r="E447" t="str">
            <v>Pellet feed</v>
          </cell>
          <cell r="F447" t="str">
            <v>[R$ '000]</v>
          </cell>
          <cell r="I447">
            <v>65747.262040000001</v>
          </cell>
          <cell r="J447">
            <v>93954.150790000014</v>
          </cell>
          <cell r="K447">
            <v>56261.575119999994</v>
          </cell>
          <cell r="L447">
            <v>59469.916829999987</v>
          </cell>
          <cell r="M447">
            <v>119563.51935190082</v>
          </cell>
          <cell r="N447">
            <v>134588.74001455438</v>
          </cell>
          <cell r="O447">
            <v>51770.14845278531</v>
          </cell>
          <cell r="P447">
            <v>51770.14845278531</v>
          </cell>
          <cell r="Q447">
            <v>51770.14845278531</v>
          </cell>
          <cell r="R447">
            <v>51770.14845278531</v>
          </cell>
          <cell r="S447">
            <v>51770.14845278531</v>
          </cell>
          <cell r="T447">
            <v>51770.14845278531</v>
          </cell>
          <cell r="U447">
            <v>51770.14845278531</v>
          </cell>
          <cell r="V447">
            <v>51770.14845278531</v>
          </cell>
          <cell r="W447">
            <v>51770.14845278531</v>
          </cell>
          <cell r="X447">
            <v>51770.14845278531</v>
          </cell>
          <cell r="Y447">
            <v>51770.14845278531</v>
          </cell>
          <cell r="Z447">
            <v>51770.14845278531</v>
          </cell>
          <cell r="AA447">
            <v>51770.14845278531</v>
          </cell>
          <cell r="AB447">
            <v>51770.14845278531</v>
          </cell>
          <cell r="AC447">
            <v>51770.14845278531</v>
          </cell>
          <cell r="AD447">
            <v>51770.14845278531</v>
          </cell>
          <cell r="AE447">
            <v>51770.14845278531</v>
          </cell>
          <cell r="AF447">
            <v>51770.14845278531</v>
          </cell>
          <cell r="AG447">
            <v>51770.14845278531</v>
          </cell>
          <cell r="AH447">
            <v>51770.14845278531</v>
          </cell>
          <cell r="AI447">
            <v>51770.14845278531</v>
          </cell>
          <cell r="AJ447">
            <v>0</v>
          </cell>
          <cell r="AK447">
            <v>0</v>
          </cell>
          <cell r="AL447">
            <v>0</v>
          </cell>
          <cell r="AM447">
            <v>0</v>
          </cell>
          <cell r="AN447">
            <v>0</v>
          </cell>
          <cell r="AO447">
            <v>0</v>
          </cell>
          <cell r="AP447">
            <v>0</v>
          </cell>
          <cell r="AQ447">
            <v>0</v>
          </cell>
          <cell r="AR447">
            <v>0</v>
          </cell>
          <cell r="AS447">
            <v>0</v>
          </cell>
          <cell r="AT447">
            <v>0</v>
          </cell>
        </row>
        <row r="448">
          <cell r="E448" t="str">
            <v>Sinter feed blend</v>
          </cell>
          <cell r="F448" t="str">
            <v>[R$ '000]</v>
          </cell>
          <cell r="I448">
            <v>78724.776179999972</v>
          </cell>
          <cell r="J448">
            <v>155057.28463000007</v>
          </cell>
          <cell r="K448">
            <v>107686.40506999998</v>
          </cell>
          <cell r="L448">
            <v>98808.380119999987</v>
          </cell>
          <cell r="M448">
            <v>173938.86099621322</v>
          </cell>
          <cell r="N448">
            <v>118244.6237671695</v>
          </cell>
          <cell r="O448">
            <v>118244.6237671695</v>
          </cell>
          <cell r="P448">
            <v>236489.247534339</v>
          </cell>
          <cell r="Q448">
            <v>236489.247534339</v>
          </cell>
          <cell r="R448">
            <v>236489.247534339</v>
          </cell>
          <cell r="S448">
            <v>236489.247534339</v>
          </cell>
          <cell r="T448">
            <v>236489.247534339</v>
          </cell>
          <cell r="U448">
            <v>236489.247534339</v>
          </cell>
          <cell r="V448">
            <v>236489.247534339</v>
          </cell>
          <cell r="W448">
            <v>236489.247534339</v>
          </cell>
          <cell r="X448">
            <v>118244.62376716948</v>
          </cell>
          <cell r="Y448">
            <v>118170.75764453362</v>
          </cell>
          <cell r="Z448">
            <v>118170.75764453362</v>
          </cell>
          <cell r="AA448">
            <v>118170.75764453362</v>
          </cell>
          <cell r="AB448">
            <v>118170.75764453362</v>
          </cell>
          <cell r="AC448">
            <v>118170.75764453362</v>
          </cell>
          <cell r="AD448">
            <v>118170.75764453362</v>
          </cell>
          <cell r="AE448">
            <v>118170.75764453362</v>
          </cell>
          <cell r="AF448">
            <v>118170.75764453362</v>
          </cell>
          <cell r="AG448">
            <v>118170.75764453362</v>
          </cell>
          <cell r="AH448">
            <v>118170.75764453362</v>
          </cell>
          <cell r="AI448">
            <v>118170.75764453362</v>
          </cell>
          <cell r="AJ448">
            <v>71089.743396701553</v>
          </cell>
          <cell r="AK448">
            <v>0</v>
          </cell>
          <cell r="AL448">
            <v>0</v>
          </cell>
          <cell r="AM448">
            <v>0</v>
          </cell>
          <cell r="AN448">
            <v>0</v>
          </cell>
          <cell r="AO448">
            <v>0</v>
          </cell>
          <cell r="AP448">
            <v>0</v>
          </cell>
          <cell r="AQ448">
            <v>0</v>
          </cell>
          <cell r="AR448">
            <v>0</v>
          </cell>
          <cell r="AS448">
            <v>0</v>
          </cell>
          <cell r="AT448">
            <v>0</v>
          </cell>
        </row>
        <row r="449">
          <cell r="E449" t="str">
            <v>CONC. FINO</v>
          </cell>
          <cell r="F449" t="str">
            <v>[R$ '000]</v>
          </cell>
          <cell r="I449">
            <v>39167.671060000001</v>
          </cell>
          <cell r="J449">
            <v>7035.5611500000014</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row>
        <row r="451">
          <cell r="E451" t="str">
            <v>Vallourec Companies</v>
          </cell>
          <cell r="F451" t="str">
            <v>[R$ '000]</v>
          </cell>
          <cell r="I451">
            <v>111497.97461000003</v>
          </cell>
          <cell r="J451">
            <v>140210.55025999999</v>
          </cell>
          <cell r="K451">
            <v>117536.54783999998</v>
          </cell>
          <cell r="L451">
            <v>103756.66938999997</v>
          </cell>
          <cell r="M451">
            <v>114140.47731005933</v>
          </cell>
          <cell r="N451">
            <v>117923.00978252957</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row>
        <row r="453">
          <cell r="E453" t="str">
            <v>NPO</v>
          </cell>
          <cell r="F453" t="str">
            <v>[R$ '000]</v>
          </cell>
          <cell r="I453">
            <v>44564.770870000022</v>
          </cell>
          <cell r="J453">
            <v>30141.534329999984</v>
          </cell>
          <cell r="K453">
            <v>52452.33734999998</v>
          </cell>
          <cell r="L453">
            <v>42331.979269999982</v>
          </cell>
          <cell r="M453">
            <v>32057.762014636352</v>
          </cell>
          <cell r="N453">
            <v>35104.41822076049</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row>
        <row r="454">
          <cell r="E454" t="str">
            <v>Hematitinha</v>
          </cell>
          <cell r="F454" t="str">
            <v>[R$ '000]</v>
          </cell>
          <cell r="I454">
            <v>14936.191130000005</v>
          </cell>
          <cell r="J454">
            <v>16114.865139999996</v>
          </cell>
          <cell r="K454">
            <v>8822.6353700000018</v>
          </cell>
          <cell r="L454">
            <v>1954.7732899999994</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row>
        <row r="455">
          <cell r="E455" t="str">
            <v>Sinter feed</v>
          </cell>
          <cell r="F455" t="str">
            <v>[R$ '000]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row>
        <row r="456">
          <cell r="E456" t="str">
            <v>Sinter feed silicoso</v>
          </cell>
          <cell r="F456" t="str">
            <v>[R$ '000]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row>
        <row r="457">
          <cell r="E457" t="str">
            <v>Pellet feed</v>
          </cell>
          <cell r="F457" t="str">
            <v>[R$ '000]</v>
          </cell>
          <cell r="I457">
            <v>51997.012609999998</v>
          </cell>
          <cell r="J457">
            <v>93954.150790000014</v>
          </cell>
          <cell r="K457">
            <v>56261.575119999994</v>
          </cell>
          <cell r="L457">
            <v>59469.916829999987</v>
          </cell>
          <cell r="M457">
            <v>82082.715295422982</v>
          </cell>
          <cell r="N457">
            <v>82818.591561769077</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row>
        <row r="458">
          <cell r="E458" t="str">
            <v>Sinter feed blend</v>
          </cell>
          <cell r="F458" t="str">
            <v>[R$ '000]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row>
        <row r="459">
          <cell r="E459" t="str">
            <v>CONC. FINO</v>
          </cell>
          <cell r="F459" t="str">
            <v>[R$ '000]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row>
        <row r="461">
          <cell r="E461" t="str">
            <v>VSB BH</v>
          </cell>
          <cell r="F461" t="str">
            <v>[R$ '000]</v>
          </cell>
          <cell r="I461">
            <v>0</v>
          </cell>
          <cell r="J461">
            <v>0</v>
          </cell>
          <cell r="K461">
            <v>0</v>
          </cell>
          <cell r="L461">
            <v>0</v>
          </cell>
          <cell r="M461">
            <v>32057.762014636352</v>
          </cell>
          <cell r="N461">
            <v>20285.830212631365</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row>
        <row r="463">
          <cell r="E463" t="str">
            <v>NPO</v>
          </cell>
          <cell r="F463" t="str">
            <v>[R$ '000]</v>
          </cell>
          <cell r="M463">
            <v>32057.762014636352</v>
          </cell>
          <cell r="N463">
            <v>20285.830212631365</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row>
        <row r="464">
          <cell r="E464" t="str">
            <v>Hematitinha</v>
          </cell>
          <cell r="F464" t="str">
            <v>[R$ '000]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row>
        <row r="465">
          <cell r="E465" t="str">
            <v>Sinter feed</v>
          </cell>
          <cell r="F465" t="str">
            <v>[R$ '000]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row>
        <row r="466">
          <cell r="E466" t="str">
            <v>Sinter feed silicoso</v>
          </cell>
          <cell r="F466" t="str">
            <v>[R$ '000]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row>
        <row r="467">
          <cell r="E467" t="str">
            <v>Pellet feed</v>
          </cell>
          <cell r="F467" t="str">
            <v>[R$ '000]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row>
        <row r="468">
          <cell r="E468" t="str">
            <v>Sinter feed blend</v>
          </cell>
          <cell r="F468" t="str">
            <v>[R$ '000]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row>
        <row r="469">
          <cell r="E469" t="str">
            <v>CONC. FINO</v>
          </cell>
          <cell r="F469" t="str">
            <v>[R$ '000]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row>
        <row r="471">
          <cell r="E471" t="str">
            <v>VSB JEC</v>
          </cell>
          <cell r="F471" t="str">
            <v>[R$ '000]</v>
          </cell>
          <cell r="I471">
            <v>0</v>
          </cell>
          <cell r="J471">
            <v>0</v>
          </cell>
          <cell r="K471">
            <v>0</v>
          </cell>
          <cell r="L471">
            <v>0</v>
          </cell>
          <cell r="M471">
            <v>82082.715295422982</v>
          </cell>
          <cell r="N471">
            <v>97637.179569898202</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row>
        <row r="473">
          <cell r="E473" t="str">
            <v>NPO</v>
          </cell>
          <cell r="F473" t="str">
            <v>[R$ '000]</v>
          </cell>
          <cell r="M473">
            <v>0</v>
          </cell>
          <cell r="N473">
            <v>14818.588008129123</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row>
        <row r="474">
          <cell r="E474" t="str">
            <v>Hematitinha</v>
          </cell>
          <cell r="F474" t="str">
            <v>[R$ '000]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row>
        <row r="475">
          <cell r="E475" t="str">
            <v>Sinter feed</v>
          </cell>
          <cell r="F475" t="str">
            <v>[R$ '000]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row>
        <row r="476">
          <cell r="E476" t="str">
            <v>Sinter feed silicoso</v>
          </cell>
          <cell r="F476" t="str">
            <v>[R$ '000]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row>
        <row r="477">
          <cell r="E477" t="str">
            <v>Pellet feed</v>
          </cell>
          <cell r="F477" t="str">
            <v>[R$ '000]</v>
          </cell>
          <cell r="M477">
            <v>82082.715295422982</v>
          </cell>
          <cell r="N477">
            <v>82818.591561769077</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row>
        <row r="478">
          <cell r="E478" t="str">
            <v>Sinter feed blend</v>
          </cell>
          <cell r="F478" t="str">
            <v>[R$ '000]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row>
        <row r="479">
          <cell r="E479" t="str">
            <v>CONC. FINO</v>
          </cell>
          <cell r="F479" t="str">
            <v>[R$ '000]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row>
        <row r="481">
          <cell r="E481" t="str">
            <v>Other Companies</v>
          </cell>
          <cell r="F481" t="str">
            <v>[R$ '000]</v>
          </cell>
          <cell r="I481">
            <v>460927.97032000014</v>
          </cell>
          <cell r="J481">
            <v>384100.27494000009</v>
          </cell>
          <cell r="K481">
            <v>256694.56573999999</v>
          </cell>
          <cell r="L481">
            <v>267762.48357999988</v>
          </cell>
          <cell r="M481">
            <v>345818.06068548473</v>
          </cell>
          <cell r="N481">
            <v>364165.39788030501</v>
          </cell>
          <cell r="O481">
            <v>396458.08038462693</v>
          </cell>
          <cell r="P481">
            <v>608901.36420174735</v>
          </cell>
          <cell r="Q481">
            <v>608901.36420174735</v>
          </cell>
          <cell r="R481">
            <v>608997.72086568992</v>
          </cell>
          <cell r="S481">
            <v>608997.72086568992</v>
          </cell>
          <cell r="T481">
            <v>608997.72086568992</v>
          </cell>
          <cell r="U481">
            <v>608997.72086568992</v>
          </cell>
          <cell r="V481">
            <v>608997.72086568992</v>
          </cell>
          <cell r="W481">
            <v>608997.72086568992</v>
          </cell>
          <cell r="X481">
            <v>396506.25871659815</v>
          </cell>
          <cell r="Y481">
            <v>396432.39259396226</v>
          </cell>
          <cell r="Z481">
            <v>396432.39259396226</v>
          </cell>
          <cell r="AA481">
            <v>396432.39259396226</v>
          </cell>
          <cell r="AB481">
            <v>396432.39259396226</v>
          </cell>
          <cell r="AC481">
            <v>396432.39259396226</v>
          </cell>
          <cell r="AD481">
            <v>396432.39259396226</v>
          </cell>
          <cell r="AE481">
            <v>396432.39259396226</v>
          </cell>
          <cell r="AF481">
            <v>396432.39259396226</v>
          </cell>
          <cell r="AG481">
            <v>396432.39259396226</v>
          </cell>
          <cell r="AH481">
            <v>396432.39259396226</v>
          </cell>
          <cell r="AI481">
            <v>396432.39259396226</v>
          </cell>
          <cell r="AJ481">
            <v>127787.21822101722</v>
          </cell>
          <cell r="AK481">
            <v>0</v>
          </cell>
          <cell r="AL481">
            <v>0</v>
          </cell>
          <cell r="AM481">
            <v>0</v>
          </cell>
          <cell r="AN481">
            <v>0</v>
          </cell>
          <cell r="AO481">
            <v>0</v>
          </cell>
          <cell r="AP481">
            <v>0</v>
          </cell>
          <cell r="AQ481">
            <v>0</v>
          </cell>
          <cell r="AR481">
            <v>0</v>
          </cell>
          <cell r="AS481">
            <v>0</v>
          </cell>
          <cell r="AT481">
            <v>0</v>
          </cell>
        </row>
        <row r="483">
          <cell r="E483" t="str">
            <v>NPO</v>
          </cell>
          <cell r="F483" t="str">
            <v>[R$ '000]</v>
          </cell>
          <cell r="I483">
            <v>115024.09221000002</v>
          </cell>
          <cell r="J483">
            <v>63985.604929999987</v>
          </cell>
          <cell r="K483">
            <v>23965.966620000014</v>
          </cell>
          <cell r="L483">
            <v>22992.171820000003</v>
          </cell>
          <cell r="M483">
            <v>34548.010760058001</v>
          </cell>
          <cell r="N483">
            <v>39885.937968638609</v>
          </cell>
          <cell r="O483">
            <v>72178.620472960494</v>
          </cell>
          <cell r="P483">
            <v>149480.11392090644</v>
          </cell>
          <cell r="Q483">
            <v>149480.11392090644</v>
          </cell>
          <cell r="R483">
            <v>149576.47058484898</v>
          </cell>
          <cell r="S483">
            <v>149576.47058484898</v>
          </cell>
          <cell r="T483">
            <v>149576.47058484898</v>
          </cell>
          <cell r="U483">
            <v>149576.47058484898</v>
          </cell>
          <cell r="V483">
            <v>149576.47058484898</v>
          </cell>
          <cell r="W483">
            <v>149576.47058484898</v>
          </cell>
          <cell r="X483">
            <v>72226.79880493175</v>
          </cell>
          <cell r="Y483">
            <v>72226.79880493175</v>
          </cell>
          <cell r="Z483">
            <v>72226.79880493175</v>
          </cell>
          <cell r="AA483">
            <v>72226.79880493175</v>
          </cell>
          <cell r="AB483">
            <v>72226.79880493175</v>
          </cell>
          <cell r="AC483">
            <v>72226.79880493175</v>
          </cell>
          <cell r="AD483">
            <v>72226.79880493175</v>
          </cell>
          <cell r="AE483">
            <v>72226.79880493175</v>
          </cell>
          <cell r="AF483">
            <v>72226.79880493175</v>
          </cell>
          <cell r="AG483">
            <v>72226.79880493175</v>
          </cell>
          <cell r="AH483">
            <v>72226.79880493175</v>
          </cell>
          <cell r="AI483">
            <v>72226.79880493175</v>
          </cell>
          <cell r="AJ483">
            <v>46532.394547169657</v>
          </cell>
          <cell r="AK483">
            <v>0</v>
          </cell>
          <cell r="AL483">
            <v>0</v>
          </cell>
          <cell r="AM483">
            <v>0</v>
          </cell>
          <cell r="AN483">
            <v>0</v>
          </cell>
          <cell r="AO483">
            <v>0</v>
          </cell>
          <cell r="AP483">
            <v>0</v>
          </cell>
          <cell r="AQ483">
            <v>0</v>
          </cell>
          <cell r="AR483">
            <v>0</v>
          </cell>
          <cell r="AS483">
            <v>0</v>
          </cell>
          <cell r="AT483">
            <v>0</v>
          </cell>
        </row>
        <row r="484">
          <cell r="E484" t="str">
            <v>Hematitinha</v>
          </cell>
          <cell r="F484" t="str">
            <v>[R$ '000]</v>
          </cell>
          <cell r="I484">
            <v>38004.524879999997</v>
          </cell>
          <cell r="J484">
            <v>23559.641459999999</v>
          </cell>
          <cell r="K484">
            <v>10712.875819999999</v>
          </cell>
          <cell r="L484">
            <v>17898.209829999996</v>
          </cell>
          <cell r="M484">
            <v>5080.2238350641883</v>
          </cell>
          <cell r="N484">
            <v>16897.166602004992</v>
          </cell>
          <cell r="O484">
            <v>16897.166602004992</v>
          </cell>
          <cell r="P484">
            <v>33794.333204009985</v>
          </cell>
          <cell r="Q484">
            <v>33794.333204009985</v>
          </cell>
          <cell r="R484">
            <v>33794.333204009985</v>
          </cell>
          <cell r="S484">
            <v>33794.333204009985</v>
          </cell>
          <cell r="T484">
            <v>33794.333204009985</v>
          </cell>
          <cell r="U484">
            <v>33794.333204009985</v>
          </cell>
          <cell r="V484">
            <v>33794.333204009985</v>
          </cell>
          <cell r="W484">
            <v>33794.333204009985</v>
          </cell>
          <cell r="X484">
            <v>16897.166602004992</v>
          </cell>
          <cell r="Y484">
            <v>16897.166602004992</v>
          </cell>
          <cell r="Z484">
            <v>16897.166602004992</v>
          </cell>
          <cell r="AA484">
            <v>16897.166602004992</v>
          </cell>
          <cell r="AB484">
            <v>16897.166602004992</v>
          </cell>
          <cell r="AC484">
            <v>16897.166602004992</v>
          </cell>
          <cell r="AD484">
            <v>16897.166602004992</v>
          </cell>
          <cell r="AE484">
            <v>16897.166602004992</v>
          </cell>
          <cell r="AF484">
            <v>16897.166602004992</v>
          </cell>
          <cell r="AG484">
            <v>16897.166602004992</v>
          </cell>
          <cell r="AH484">
            <v>16897.166602004992</v>
          </cell>
          <cell r="AI484">
            <v>16897.166602004992</v>
          </cell>
          <cell r="AJ484">
            <v>10165.080277146015</v>
          </cell>
          <cell r="AK484">
            <v>0</v>
          </cell>
          <cell r="AL484">
            <v>0</v>
          </cell>
          <cell r="AM484">
            <v>0</v>
          </cell>
          <cell r="AN484">
            <v>0</v>
          </cell>
          <cell r="AO484">
            <v>0</v>
          </cell>
          <cell r="AP484">
            <v>0</v>
          </cell>
          <cell r="AQ484">
            <v>0</v>
          </cell>
          <cell r="AR484">
            <v>0</v>
          </cell>
          <cell r="AS484">
            <v>0</v>
          </cell>
          <cell r="AT484">
            <v>0</v>
          </cell>
        </row>
        <row r="485">
          <cell r="E485" t="str">
            <v>Sinter feed</v>
          </cell>
          <cell r="F485" t="str">
            <v>[R$ '000]</v>
          </cell>
          <cell r="I485">
            <v>176256.65656000006</v>
          </cell>
          <cell r="J485">
            <v>134462.18277000001</v>
          </cell>
          <cell r="K485">
            <v>114329.31822999999</v>
          </cell>
          <cell r="L485">
            <v>128063.72180999989</v>
          </cell>
          <cell r="M485">
            <v>94770.161037671482</v>
          </cell>
          <cell r="N485">
            <v>137367.52108970663</v>
          </cell>
          <cell r="O485">
            <v>137367.52108970663</v>
          </cell>
          <cell r="P485">
            <v>137367.52108970663</v>
          </cell>
          <cell r="Q485">
            <v>137367.52108970663</v>
          </cell>
          <cell r="R485">
            <v>137367.52108970663</v>
          </cell>
          <cell r="S485">
            <v>137367.52108970663</v>
          </cell>
          <cell r="T485">
            <v>137367.52108970663</v>
          </cell>
          <cell r="U485">
            <v>137367.52108970663</v>
          </cell>
          <cell r="V485">
            <v>137367.52108970663</v>
          </cell>
          <cell r="W485">
            <v>137367.52108970663</v>
          </cell>
          <cell r="X485">
            <v>137367.52108970663</v>
          </cell>
          <cell r="Y485">
            <v>137367.52108970663</v>
          </cell>
          <cell r="Z485">
            <v>137367.52108970663</v>
          </cell>
          <cell r="AA485">
            <v>137367.52108970663</v>
          </cell>
          <cell r="AB485">
            <v>137367.52108970663</v>
          </cell>
          <cell r="AC485">
            <v>137367.52108970663</v>
          </cell>
          <cell r="AD485">
            <v>137367.52108970663</v>
          </cell>
          <cell r="AE485">
            <v>137367.52108970663</v>
          </cell>
          <cell r="AF485">
            <v>137367.52108970663</v>
          </cell>
          <cell r="AG485">
            <v>137367.52108970663</v>
          </cell>
          <cell r="AH485">
            <v>137367.52108970663</v>
          </cell>
          <cell r="AI485">
            <v>137367.52108970663</v>
          </cell>
          <cell r="AJ485">
            <v>0</v>
          </cell>
          <cell r="AK485">
            <v>0</v>
          </cell>
          <cell r="AL485">
            <v>0</v>
          </cell>
          <cell r="AM485">
            <v>0</v>
          </cell>
          <cell r="AN485">
            <v>0</v>
          </cell>
          <cell r="AO485">
            <v>0</v>
          </cell>
          <cell r="AP485">
            <v>0</v>
          </cell>
          <cell r="AQ485">
            <v>0</v>
          </cell>
          <cell r="AR485">
            <v>0</v>
          </cell>
          <cell r="AS485">
            <v>0</v>
          </cell>
          <cell r="AT485">
            <v>0</v>
          </cell>
        </row>
        <row r="486">
          <cell r="E486" t="str">
            <v>Sinter feed silicoso</v>
          </cell>
          <cell r="F486" t="str">
            <v>[R$ '000]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row>
        <row r="487">
          <cell r="E487" t="str">
            <v>Pellet feed</v>
          </cell>
          <cell r="F487" t="str">
            <v>[R$ '000]</v>
          </cell>
          <cell r="I487">
            <v>13750.249430000003</v>
          </cell>
          <cell r="J487">
            <v>0</v>
          </cell>
          <cell r="K487">
            <v>0</v>
          </cell>
          <cell r="L487">
            <v>0</v>
          </cell>
          <cell r="M487">
            <v>37480.804056477835</v>
          </cell>
          <cell r="N487">
            <v>51770.14845278531</v>
          </cell>
          <cell r="O487">
            <v>51770.14845278531</v>
          </cell>
          <cell r="P487">
            <v>51770.14845278531</v>
          </cell>
          <cell r="Q487">
            <v>51770.14845278531</v>
          </cell>
          <cell r="R487">
            <v>51770.14845278531</v>
          </cell>
          <cell r="S487">
            <v>51770.14845278531</v>
          </cell>
          <cell r="T487">
            <v>51770.14845278531</v>
          </cell>
          <cell r="U487">
            <v>51770.14845278531</v>
          </cell>
          <cell r="V487">
            <v>51770.14845278531</v>
          </cell>
          <cell r="W487">
            <v>51770.14845278531</v>
          </cell>
          <cell r="X487">
            <v>51770.14845278531</v>
          </cell>
          <cell r="Y487">
            <v>51770.14845278531</v>
          </cell>
          <cell r="Z487">
            <v>51770.14845278531</v>
          </cell>
          <cell r="AA487">
            <v>51770.14845278531</v>
          </cell>
          <cell r="AB487">
            <v>51770.14845278531</v>
          </cell>
          <cell r="AC487">
            <v>51770.14845278531</v>
          </cell>
          <cell r="AD487">
            <v>51770.14845278531</v>
          </cell>
          <cell r="AE487">
            <v>51770.14845278531</v>
          </cell>
          <cell r="AF487">
            <v>51770.14845278531</v>
          </cell>
          <cell r="AG487">
            <v>51770.14845278531</v>
          </cell>
          <cell r="AH487">
            <v>51770.14845278531</v>
          </cell>
          <cell r="AI487">
            <v>51770.14845278531</v>
          </cell>
          <cell r="AJ487">
            <v>0</v>
          </cell>
          <cell r="AK487">
            <v>0</v>
          </cell>
          <cell r="AL487">
            <v>0</v>
          </cell>
          <cell r="AM487">
            <v>0</v>
          </cell>
          <cell r="AN487">
            <v>0</v>
          </cell>
          <cell r="AO487">
            <v>0</v>
          </cell>
          <cell r="AP487">
            <v>0</v>
          </cell>
          <cell r="AQ487">
            <v>0</v>
          </cell>
          <cell r="AR487">
            <v>0</v>
          </cell>
          <cell r="AS487">
            <v>0</v>
          </cell>
          <cell r="AT487">
            <v>0</v>
          </cell>
        </row>
        <row r="488">
          <cell r="E488" t="str">
            <v>Sinter feed blend</v>
          </cell>
          <cell r="F488" t="str">
            <v>[R$ '000]</v>
          </cell>
          <cell r="I488">
            <v>78724.776179999972</v>
          </cell>
          <cell r="J488">
            <v>155057.28463000007</v>
          </cell>
          <cell r="K488">
            <v>107686.40506999998</v>
          </cell>
          <cell r="L488">
            <v>98808.380119999987</v>
          </cell>
          <cell r="M488">
            <v>173938.86099621322</v>
          </cell>
          <cell r="N488">
            <v>118244.6237671695</v>
          </cell>
          <cell r="O488">
            <v>118244.6237671695</v>
          </cell>
          <cell r="P488">
            <v>236489.247534339</v>
          </cell>
          <cell r="Q488">
            <v>236489.247534339</v>
          </cell>
          <cell r="R488">
            <v>236489.247534339</v>
          </cell>
          <cell r="S488">
            <v>236489.247534339</v>
          </cell>
          <cell r="T488">
            <v>236489.247534339</v>
          </cell>
          <cell r="U488">
            <v>236489.247534339</v>
          </cell>
          <cell r="V488">
            <v>236489.247534339</v>
          </cell>
          <cell r="W488">
            <v>236489.247534339</v>
          </cell>
          <cell r="X488">
            <v>118244.62376716948</v>
          </cell>
          <cell r="Y488">
            <v>118170.75764453362</v>
          </cell>
          <cell r="Z488">
            <v>118170.75764453362</v>
          </cell>
          <cell r="AA488">
            <v>118170.75764453362</v>
          </cell>
          <cell r="AB488">
            <v>118170.75764453362</v>
          </cell>
          <cell r="AC488">
            <v>118170.75764453362</v>
          </cell>
          <cell r="AD488">
            <v>118170.75764453362</v>
          </cell>
          <cell r="AE488">
            <v>118170.75764453362</v>
          </cell>
          <cell r="AF488">
            <v>118170.75764453362</v>
          </cell>
          <cell r="AG488">
            <v>118170.75764453362</v>
          </cell>
          <cell r="AH488">
            <v>118170.75764453362</v>
          </cell>
          <cell r="AI488">
            <v>118170.75764453362</v>
          </cell>
          <cell r="AJ488">
            <v>71089.743396701553</v>
          </cell>
          <cell r="AK488">
            <v>0</v>
          </cell>
          <cell r="AL488">
            <v>0</v>
          </cell>
          <cell r="AM488">
            <v>0</v>
          </cell>
          <cell r="AN488">
            <v>0</v>
          </cell>
          <cell r="AO488">
            <v>0</v>
          </cell>
          <cell r="AP488">
            <v>0</v>
          </cell>
          <cell r="AQ488">
            <v>0</v>
          </cell>
          <cell r="AR488">
            <v>0</v>
          </cell>
          <cell r="AS488">
            <v>0</v>
          </cell>
          <cell r="AT488">
            <v>0</v>
          </cell>
        </row>
        <row r="489">
          <cell r="E489" t="str">
            <v>CONC. FINO</v>
          </cell>
          <cell r="F489" t="str">
            <v>[R$ '000]</v>
          </cell>
          <cell r="I489">
            <v>39167.671060000001</v>
          </cell>
          <cell r="J489">
            <v>7035.5611500000014</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row>
        <row r="491">
          <cell r="E491" t="str">
            <v>Client A</v>
          </cell>
          <cell r="F491" t="str">
            <v>[R$ '000]</v>
          </cell>
          <cell r="I491">
            <v>0</v>
          </cell>
          <cell r="J491">
            <v>0</v>
          </cell>
          <cell r="K491">
            <v>0</v>
          </cell>
          <cell r="L491">
            <v>0</v>
          </cell>
          <cell r="M491">
            <v>31110.894632634561</v>
          </cell>
          <cell r="N491">
            <v>79330.30269921507</v>
          </cell>
          <cell r="O491">
            <v>79330.30269921507</v>
          </cell>
          <cell r="P491">
            <v>96227.469301220059</v>
          </cell>
          <cell r="Q491">
            <v>96227.469301220059</v>
          </cell>
          <cell r="R491">
            <v>96227.469301220059</v>
          </cell>
          <cell r="S491">
            <v>96227.469301220059</v>
          </cell>
          <cell r="T491">
            <v>96227.469301220059</v>
          </cell>
          <cell r="U491">
            <v>96227.469301220059</v>
          </cell>
          <cell r="V491">
            <v>96227.469301220059</v>
          </cell>
          <cell r="W491">
            <v>96227.469301220059</v>
          </cell>
          <cell r="X491">
            <v>79330.30269921507</v>
          </cell>
          <cell r="Y491">
            <v>79330.30269921507</v>
          </cell>
          <cell r="Z491">
            <v>79330.30269921507</v>
          </cell>
          <cell r="AA491">
            <v>79330.30269921507</v>
          </cell>
          <cell r="AB491">
            <v>79330.30269921507</v>
          </cell>
          <cell r="AC491">
            <v>79330.30269921507</v>
          </cell>
          <cell r="AD491">
            <v>79330.30269921507</v>
          </cell>
          <cell r="AE491">
            <v>79330.30269921507</v>
          </cell>
          <cell r="AF491">
            <v>79330.30269921507</v>
          </cell>
          <cell r="AG491">
            <v>79330.30269921507</v>
          </cell>
          <cell r="AH491">
            <v>79330.30269921507</v>
          </cell>
          <cell r="AI491">
            <v>79330.30269921507</v>
          </cell>
          <cell r="AJ491">
            <v>10165.080277146015</v>
          </cell>
          <cell r="AK491">
            <v>0</v>
          </cell>
          <cell r="AL491">
            <v>0</v>
          </cell>
          <cell r="AM491">
            <v>0</v>
          </cell>
          <cell r="AN491">
            <v>0</v>
          </cell>
          <cell r="AO491">
            <v>0</v>
          </cell>
          <cell r="AP491">
            <v>0</v>
          </cell>
          <cell r="AQ491">
            <v>0</v>
          </cell>
          <cell r="AR491">
            <v>0</v>
          </cell>
          <cell r="AS491">
            <v>0</v>
          </cell>
          <cell r="AT491">
            <v>0</v>
          </cell>
        </row>
        <row r="493">
          <cell r="E493" t="str">
            <v>NPO</v>
          </cell>
          <cell r="F493" t="str">
            <v>[R$ '000]</v>
          </cell>
          <cell r="M493">
            <v>19417.327574888521</v>
          </cell>
          <cell r="N493">
            <v>17381.53249682656</v>
          </cell>
          <cell r="O493">
            <v>17381.53249682656</v>
          </cell>
          <cell r="P493">
            <v>17381.53249682656</v>
          </cell>
          <cell r="Q493">
            <v>17381.53249682656</v>
          </cell>
          <cell r="R493">
            <v>17381.53249682656</v>
          </cell>
          <cell r="S493">
            <v>17381.53249682656</v>
          </cell>
          <cell r="T493">
            <v>17381.53249682656</v>
          </cell>
          <cell r="U493">
            <v>17381.53249682656</v>
          </cell>
          <cell r="V493">
            <v>17381.53249682656</v>
          </cell>
          <cell r="W493">
            <v>17381.53249682656</v>
          </cell>
          <cell r="X493">
            <v>17381.53249682656</v>
          </cell>
          <cell r="Y493">
            <v>17381.53249682656</v>
          </cell>
          <cell r="Z493">
            <v>17381.53249682656</v>
          </cell>
          <cell r="AA493">
            <v>17381.53249682656</v>
          </cell>
          <cell r="AB493">
            <v>17381.53249682656</v>
          </cell>
          <cell r="AC493">
            <v>17381.53249682656</v>
          </cell>
          <cell r="AD493">
            <v>17381.53249682656</v>
          </cell>
          <cell r="AE493">
            <v>17381.53249682656</v>
          </cell>
          <cell r="AF493">
            <v>17381.53249682656</v>
          </cell>
          <cell r="AG493">
            <v>17381.53249682656</v>
          </cell>
          <cell r="AH493">
            <v>17381.53249682656</v>
          </cell>
          <cell r="AI493">
            <v>17381.53249682656</v>
          </cell>
          <cell r="AJ493">
            <v>0</v>
          </cell>
          <cell r="AK493">
            <v>0</v>
          </cell>
          <cell r="AL493">
            <v>0</v>
          </cell>
          <cell r="AM493">
            <v>0</v>
          </cell>
          <cell r="AN493">
            <v>0</v>
          </cell>
          <cell r="AO493">
            <v>0</v>
          </cell>
          <cell r="AP493">
            <v>0</v>
          </cell>
          <cell r="AQ493">
            <v>0</v>
          </cell>
          <cell r="AR493">
            <v>0</v>
          </cell>
          <cell r="AS493">
            <v>0</v>
          </cell>
          <cell r="AT493">
            <v>0</v>
          </cell>
        </row>
        <row r="494">
          <cell r="E494" t="str">
            <v>Hematitinha</v>
          </cell>
          <cell r="F494" t="str">
            <v>[R$ '000]</v>
          </cell>
          <cell r="M494">
            <v>5080.2238350641883</v>
          </cell>
          <cell r="N494">
            <v>16897.166602004992</v>
          </cell>
          <cell r="O494">
            <v>16897.166602004992</v>
          </cell>
          <cell r="P494">
            <v>33794.333204009985</v>
          </cell>
          <cell r="Q494">
            <v>33794.333204009985</v>
          </cell>
          <cell r="R494">
            <v>33794.333204009985</v>
          </cell>
          <cell r="S494">
            <v>33794.333204009985</v>
          </cell>
          <cell r="T494">
            <v>33794.333204009985</v>
          </cell>
          <cell r="U494">
            <v>33794.333204009985</v>
          </cell>
          <cell r="V494">
            <v>33794.333204009985</v>
          </cell>
          <cell r="W494">
            <v>33794.333204009985</v>
          </cell>
          <cell r="X494">
            <v>16897.166602004992</v>
          </cell>
          <cell r="Y494">
            <v>16897.166602004992</v>
          </cell>
          <cell r="Z494">
            <v>16897.166602004992</v>
          </cell>
          <cell r="AA494">
            <v>16897.166602004992</v>
          </cell>
          <cell r="AB494">
            <v>16897.166602004992</v>
          </cell>
          <cell r="AC494">
            <v>16897.166602004992</v>
          </cell>
          <cell r="AD494">
            <v>16897.166602004992</v>
          </cell>
          <cell r="AE494">
            <v>16897.166602004992</v>
          </cell>
          <cell r="AF494">
            <v>16897.166602004992</v>
          </cell>
          <cell r="AG494">
            <v>16897.166602004992</v>
          </cell>
          <cell r="AH494">
            <v>16897.166602004992</v>
          </cell>
          <cell r="AI494">
            <v>16897.166602004992</v>
          </cell>
          <cell r="AJ494">
            <v>10165.080277146015</v>
          </cell>
          <cell r="AK494">
            <v>0</v>
          </cell>
          <cell r="AL494">
            <v>0</v>
          </cell>
          <cell r="AM494">
            <v>0</v>
          </cell>
          <cell r="AN494">
            <v>0</v>
          </cell>
          <cell r="AO494">
            <v>0</v>
          </cell>
          <cell r="AP494">
            <v>0</v>
          </cell>
          <cell r="AQ494">
            <v>0</v>
          </cell>
          <cell r="AR494">
            <v>0</v>
          </cell>
          <cell r="AS494">
            <v>0</v>
          </cell>
          <cell r="AT494">
            <v>0</v>
          </cell>
        </row>
        <row r="495">
          <cell r="E495" t="str">
            <v>Sinter feed</v>
          </cell>
          <cell r="F495" t="str">
            <v>[R$ '000]</v>
          </cell>
          <cell r="M495">
            <v>6613.3432226818504</v>
          </cell>
          <cell r="N495">
            <v>45051.603600383518</v>
          </cell>
          <cell r="O495">
            <v>45051.603600383518</v>
          </cell>
          <cell r="P495">
            <v>45051.603600383518</v>
          </cell>
          <cell r="Q495">
            <v>45051.603600383518</v>
          </cell>
          <cell r="R495">
            <v>45051.603600383518</v>
          </cell>
          <cell r="S495">
            <v>45051.603600383518</v>
          </cell>
          <cell r="T495">
            <v>45051.603600383518</v>
          </cell>
          <cell r="U495">
            <v>45051.603600383518</v>
          </cell>
          <cell r="V495">
            <v>45051.603600383518</v>
          </cell>
          <cell r="W495">
            <v>45051.603600383518</v>
          </cell>
          <cell r="X495">
            <v>45051.603600383518</v>
          </cell>
          <cell r="Y495">
            <v>45051.603600383518</v>
          </cell>
          <cell r="Z495">
            <v>45051.603600383518</v>
          </cell>
          <cell r="AA495">
            <v>45051.603600383518</v>
          </cell>
          <cell r="AB495">
            <v>45051.603600383518</v>
          </cell>
          <cell r="AC495">
            <v>45051.603600383518</v>
          </cell>
          <cell r="AD495">
            <v>45051.603600383518</v>
          </cell>
          <cell r="AE495">
            <v>45051.603600383518</v>
          </cell>
          <cell r="AF495">
            <v>45051.603600383518</v>
          </cell>
          <cell r="AG495">
            <v>45051.603600383518</v>
          </cell>
          <cell r="AH495">
            <v>45051.603600383518</v>
          </cell>
          <cell r="AI495">
            <v>45051.603600383518</v>
          </cell>
          <cell r="AJ495">
            <v>0</v>
          </cell>
          <cell r="AK495">
            <v>0</v>
          </cell>
          <cell r="AL495">
            <v>0</v>
          </cell>
          <cell r="AM495">
            <v>0</v>
          </cell>
          <cell r="AN495">
            <v>0</v>
          </cell>
          <cell r="AO495">
            <v>0</v>
          </cell>
          <cell r="AP495">
            <v>0</v>
          </cell>
          <cell r="AQ495">
            <v>0</v>
          </cell>
          <cell r="AR495">
            <v>0</v>
          </cell>
          <cell r="AS495">
            <v>0</v>
          </cell>
          <cell r="AT495">
            <v>0</v>
          </cell>
        </row>
        <row r="496">
          <cell r="E496" t="str">
            <v>Sinter feed silicoso</v>
          </cell>
          <cell r="F496" t="str">
            <v>[R$ '000]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row>
        <row r="497">
          <cell r="E497" t="str">
            <v>Pellet feed</v>
          </cell>
          <cell r="F497" t="str">
            <v>[R$ '000]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row>
        <row r="498">
          <cell r="E498" t="str">
            <v>Sinter feed blend</v>
          </cell>
          <cell r="F498" t="str">
            <v>[R$ '000]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row>
        <row r="499">
          <cell r="E499" t="str">
            <v>CONC. FINO</v>
          </cell>
          <cell r="F499" t="str">
            <v>[R$ '000]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row>
        <row r="501">
          <cell r="E501" t="str">
            <v>Client B</v>
          </cell>
          <cell r="F501" t="str">
            <v>[R$ '000]</v>
          </cell>
          <cell r="M501">
            <v>189069.54418138269</v>
          </cell>
          <cell r="N501">
            <v>140749.02923898154</v>
          </cell>
          <cell r="O501">
            <v>173041.71174330343</v>
          </cell>
          <cell r="P501">
            <v>368587.82895841892</v>
          </cell>
          <cell r="Q501">
            <v>368587.82895841892</v>
          </cell>
          <cell r="R501">
            <v>368684.18562236143</v>
          </cell>
          <cell r="S501">
            <v>368684.18562236143</v>
          </cell>
          <cell r="T501">
            <v>368684.18562236143</v>
          </cell>
          <cell r="U501">
            <v>368684.18562236143</v>
          </cell>
          <cell r="V501">
            <v>368684.18562236143</v>
          </cell>
          <cell r="W501">
            <v>368684.18562236143</v>
          </cell>
          <cell r="X501">
            <v>173089.89007527468</v>
          </cell>
          <cell r="Y501">
            <v>173016.02395263882</v>
          </cell>
          <cell r="Z501">
            <v>173016.02395263882</v>
          </cell>
          <cell r="AA501">
            <v>173016.02395263882</v>
          </cell>
          <cell r="AB501">
            <v>173016.02395263882</v>
          </cell>
          <cell r="AC501">
            <v>173016.02395263882</v>
          </cell>
          <cell r="AD501">
            <v>173016.02395263882</v>
          </cell>
          <cell r="AE501">
            <v>173016.02395263882</v>
          </cell>
          <cell r="AF501">
            <v>173016.02395263882</v>
          </cell>
          <cell r="AG501">
            <v>173016.02395263882</v>
          </cell>
          <cell r="AH501">
            <v>173016.02395263882</v>
          </cell>
          <cell r="AI501">
            <v>173016.02395263882</v>
          </cell>
          <cell r="AJ501">
            <v>117622.1379438712</v>
          </cell>
          <cell r="AK501">
            <v>0</v>
          </cell>
          <cell r="AL501">
            <v>0</v>
          </cell>
          <cell r="AM501">
            <v>0</v>
          </cell>
          <cell r="AN501">
            <v>0</v>
          </cell>
          <cell r="AO501">
            <v>0</v>
          </cell>
          <cell r="AP501">
            <v>0</v>
          </cell>
          <cell r="AQ501">
            <v>0</v>
          </cell>
          <cell r="AR501">
            <v>0</v>
          </cell>
          <cell r="AS501">
            <v>0</v>
          </cell>
          <cell r="AT501">
            <v>0</v>
          </cell>
        </row>
        <row r="503">
          <cell r="E503" t="str">
            <v>NPO</v>
          </cell>
          <cell r="F503" t="str">
            <v>[R$ '000]</v>
          </cell>
          <cell r="M503">
            <v>15130.683185169481</v>
          </cell>
          <cell r="N503">
            <v>22504.40547181205</v>
          </cell>
          <cell r="O503">
            <v>54797.087976133931</v>
          </cell>
          <cell r="P503">
            <v>132098.58142407989</v>
          </cell>
          <cell r="Q503">
            <v>132098.58142407989</v>
          </cell>
          <cell r="R503">
            <v>132194.93808802243</v>
          </cell>
          <cell r="S503">
            <v>132194.93808802243</v>
          </cell>
          <cell r="T503">
            <v>132194.93808802243</v>
          </cell>
          <cell r="U503">
            <v>132194.93808802243</v>
          </cell>
          <cell r="V503">
            <v>132194.93808802243</v>
          </cell>
          <cell r="W503">
            <v>132194.93808802243</v>
          </cell>
          <cell r="X503">
            <v>54845.266308105194</v>
          </cell>
          <cell r="Y503">
            <v>54845.266308105194</v>
          </cell>
          <cell r="Z503">
            <v>54845.266308105194</v>
          </cell>
          <cell r="AA503">
            <v>54845.266308105194</v>
          </cell>
          <cell r="AB503">
            <v>54845.266308105194</v>
          </cell>
          <cell r="AC503">
            <v>54845.266308105194</v>
          </cell>
          <cell r="AD503">
            <v>54845.266308105194</v>
          </cell>
          <cell r="AE503">
            <v>54845.266308105194</v>
          </cell>
          <cell r="AF503">
            <v>54845.266308105194</v>
          </cell>
          <cell r="AG503">
            <v>54845.266308105194</v>
          </cell>
          <cell r="AH503">
            <v>54845.266308105194</v>
          </cell>
          <cell r="AI503">
            <v>54845.266308105194</v>
          </cell>
          <cell r="AJ503">
            <v>46532.394547169657</v>
          </cell>
          <cell r="AK503">
            <v>0</v>
          </cell>
          <cell r="AL503">
            <v>0</v>
          </cell>
          <cell r="AM503">
            <v>0</v>
          </cell>
          <cell r="AN503">
            <v>0</v>
          </cell>
          <cell r="AO503">
            <v>0</v>
          </cell>
          <cell r="AP503">
            <v>0</v>
          </cell>
          <cell r="AQ503">
            <v>0</v>
          </cell>
          <cell r="AR503">
            <v>0</v>
          </cell>
          <cell r="AS503">
            <v>0</v>
          </cell>
          <cell r="AT503">
            <v>0</v>
          </cell>
        </row>
        <row r="504">
          <cell r="E504" t="str">
            <v>Hematitinha</v>
          </cell>
          <cell r="F504" t="str">
            <v>[R$ '000]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row>
        <row r="505">
          <cell r="E505" t="str">
            <v>Sinter feed</v>
          </cell>
          <cell r="F505" t="str">
            <v>[R$ '000]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row>
        <row r="506">
          <cell r="E506" t="str">
            <v>Sinter feed silicoso</v>
          </cell>
          <cell r="F506" t="str">
            <v>[R$ '000]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row>
        <row r="507">
          <cell r="E507" t="str">
            <v>Pellet feed</v>
          </cell>
          <cell r="F507" t="str">
            <v>[R$ '000]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row>
        <row r="508">
          <cell r="E508" t="str">
            <v>Sinter feed blend</v>
          </cell>
          <cell r="F508" t="str">
            <v>[R$ '000]</v>
          </cell>
          <cell r="M508">
            <v>173938.86099621322</v>
          </cell>
          <cell r="N508">
            <v>118244.6237671695</v>
          </cell>
          <cell r="O508">
            <v>118244.6237671695</v>
          </cell>
          <cell r="P508">
            <v>236489.247534339</v>
          </cell>
          <cell r="Q508">
            <v>236489.247534339</v>
          </cell>
          <cell r="R508">
            <v>236489.247534339</v>
          </cell>
          <cell r="S508">
            <v>236489.247534339</v>
          </cell>
          <cell r="T508">
            <v>236489.247534339</v>
          </cell>
          <cell r="U508">
            <v>236489.247534339</v>
          </cell>
          <cell r="V508">
            <v>236489.247534339</v>
          </cell>
          <cell r="W508">
            <v>236489.247534339</v>
          </cell>
          <cell r="X508">
            <v>118244.62376716948</v>
          </cell>
          <cell r="Y508">
            <v>118170.75764453362</v>
          </cell>
          <cell r="Z508">
            <v>118170.75764453362</v>
          </cell>
          <cell r="AA508">
            <v>118170.75764453362</v>
          </cell>
          <cell r="AB508">
            <v>118170.75764453362</v>
          </cell>
          <cell r="AC508">
            <v>118170.75764453362</v>
          </cell>
          <cell r="AD508">
            <v>118170.75764453362</v>
          </cell>
          <cell r="AE508">
            <v>118170.75764453362</v>
          </cell>
          <cell r="AF508">
            <v>118170.75764453362</v>
          </cell>
          <cell r="AG508">
            <v>118170.75764453362</v>
          </cell>
          <cell r="AH508">
            <v>118170.75764453362</v>
          </cell>
          <cell r="AI508">
            <v>118170.75764453362</v>
          </cell>
          <cell r="AJ508">
            <v>71089.743396701553</v>
          </cell>
          <cell r="AK508">
            <v>0</v>
          </cell>
          <cell r="AL508">
            <v>0</v>
          </cell>
          <cell r="AM508">
            <v>0</v>
          </cell>
          <cell r="AN508">
            <v>0</v>
          </cell>
          <cell r="AO508">
            <v>0</v>
          </cell>
          <cell r="AP508">
            <v>0</v>
          </cell>
          <cell r="AQ508">
            <v>0</v>
          </cell>
          <cell r="AR508">
            <v>0</v>
          </cell>
          <cell r="AS508">
            <v>0</v>
          </cell>
          <cell r="AT508">
            <v>0</v>
          </cell>
        </row>
        <row r="509">
          <cell r="E509" t="str">
            <v>CONC. FINO</v>
          </cell>
          <cell r="F509" t="str">
            <v>[R$ '000]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row>
        <row r="511">
          <cell r="E511" t="str">
            <v>Client C</v>
          </cell>
          <cell r="F511" t="str">
            <v>[R$ '000]</v>
          </cell>
          <cell r="M511">
            <v>125637.62187146746</v>
          </cell>
          <cell r="N511">
            <v>144086.06594210843</v>
          </cell>
          <cell r="O511">
            <v>144086.06594210843</v>
          </cell>
          <cell r="P511">
            <v>144086.06594210843</v>
          </cell>
          <cell r="Q511">
            <v>144086.06594210843</v>
          </cell>
          <cell r="R511">
            <v>144086.06594210843</v>
          </cell>
          <cell r="S511">
            <v>144086.06594210843</v>
          </cell>
          <cell r="T511">
            <v>144086.06594210843</v>
          </cell>
          <cell r="U511">
            <v>144086.06594210843</v>
          </cell>
          <cell r="V511">
            <v>144086.06594210843</v>
          </cell>
          <cell r="W511">
            <v>144086.06594210843</v>
          </cell>
          <cell r="X511">
            <v>144086.06594210843</v>
          </cell>
          <cell r="Y511">
            <v>144086.06594210843</v>
          </cell>
          <cell r="Z511">
            <v>144086.06594210843</v>
          </cell>
          <cell r="AA511">
            <v>144086.06594210843</v>
          </cell>
          <cell r="AB511">
            <v>144086.06594210843</v>
          </cell>
          <cell r="AC511">
            <v>144086.06594210843</v>
          </cell>
          <cell r="AD511">
            <v>144086.06594210843</v>
          </cell>
          <cell r="AE511">
            <v>144086.06594210843</v>
          </cell>
          <cell r="AF511">
            <v>144086.06594210843</v>
          </cell>
          <cell r="AG511">
            <v>144086.06594210843</v>
          </cell>
          <cell r="AH511">
            <v>144086.06594210843</v>
          </cell>
          <cell r="AI511">
            <v>144086.06594210843</v>
          </cell>
          <cell r="AJ511">
            <v>0</v>
          </cell>
          <cell r="AK511">
            <v>0</v>
          </cell>
          <cell r="AL511">
            <v>0</v>
          </cell>
          <cell r="AM511">
            <v>0</v>
          </cell>
          <cell r="AN511">
            <v>0</v>
          </cell>
          <cell r="AO511">
            <v>0</v>
          </cell>
          <cell r="AP511">
            <v>0</v>
          </cell>
          <cell r="AQ511">
            <v>0</v>
          </cell>
          <cell r="AR511">
            <v>0</v>
          </cell>
          <cell r="AS511">
            <v>0</v>
          </cell>
          <cell r="AT511">
            <v>0</v>
          </cell>
        </row>
        <row r="513">
          <cell r="E513" t="str">
            <v>NPO</v>
          </cell>
          <cell r="F513" t="str">
            <v>[R$ '000]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row>
        <row r="514">
          <cell r="E514" t="str">
            <v>Hematitinha</v>
          </cell>
          <cell r="F514" t="str">
            <v>[R$ '000]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row>
        <row r="515">
          <cell r="E515" t="str">
            <v>Sinter feed</v>
          </cell>
          <cell r="F515" t="str">
            <v>[R$ '000]</v>
          </cell>
          <cell r="M515">
            <v>88156.817814989627</v>
          </cell>
          <cell r="N515">
            <v>92315.91748932311</v>
          </cell>
          <cell r="O515">
            <v>92315.91748932311</v>
          </cell>
          <cell r="P515">
            <v>92315.91748932311</v>
          </cell>
          <cell r="Q515">
            <v>92315.91748932311</v>
          </cell>
          <cell r="R515">
            <v>92315.91748932311</v>
          </cell>
          <cell r="S515">
            <v>92315.91748932311</v>
          </cell>
          <cell r="T515">
            <v>92315.91748932311</v>
          </cell>
          <cell r="U515">
            <v>92315.91748932311</v>
          </cell>
          <cell r="V515">
            <v>92315.91748932311</v>
          </cell>
          <cell r="W515">
            <v>92315.91748932311</v>
          </cell>
          <cell r="X515">
            <v>92315.91748932311</v>
          </cell>
          <cell r="Y515">
            <v>92315.91748932311</v>
          </cell>
          <cell r="Z515">
            <v>92315.91748932311</v>
          </cell>
          <cell r="AA515">
            <v>92315.91748932311</v>
          </cell>
          <cell r="AB515">
            <v>92315.91748932311</v>
          </cell>
          <cell r="AC515">
            <v>92315.91748932311</v>
          </cell>
          <cell r="AD515">
            <v>92315.91748932311</v>
          </cell>
          <cell r="AE515">
            <v>92315.91748932311</v>
          </cell>
          <cell r="AF515">
            <v>92315.91748932311</v>
          </cell>
          <cell r="AG515">
            <v>92315.91748932311</v>
          </cell>
          <cell r="AH515">
            <v>92315.91748932311</v>
          </cell>
          <cell r="AI515">
            <v>92315.91748932311</v>
          </cell>
          <cell r="AJ515">
            <v>0</v>
          </cell>
          <cell r="AK515">
            <v>0</v>
          </cell>
          <cell r="AL515">
            <v>0</v>
          </cell>
          <cell r="AM515">
            <v>0</v>
          </cell>
          <cell r="AN515">
            <v>0</v>
          </cell>
          <cell r="AO515">
            <v>0</v>
          </cell>
          <cell r="AP515">
            <v>0</v>
          </cell>
          <cell r="AQ515">
            <v>0</v>
          </cell>
          <cell r="AR515">
            <v>0</v>
          </cell>
          <cell r="AS515">
            <v>0</v>
          </cell>
          <cell r="AT515">
            <v>0</v>
          </cell>
        </row>
        <row r="516">
          <cell r="E516" t="str">
            <v>Sinter feed silicoso</v>
          </cell>
          <cell r="F516" t="str">
            <v>[R$ '000]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row>
        <row r="517">
          <cell r="E517" t="str">
            <v>Pellet feed</v>
          </cell>
          <cell r="F517" t="str">
            <v>[R$ '000]</v>
          </cell>
          <cell r="M517">
            <v>37480.804056477835</v>
          </cell>
          <cell r="N517">
            <v>51770.14845278531</v>
          </cell>
          <cell r="O517">
            <v>51770.14845278531</v>
          </cell>
          <cell r="P517">
            <v>51770.14845278531</v>
          </cell>
          <cell r="Q517">
            <v>51770.14845278531</v>
          </cell>
          <cell r="R517">
            <v>51770.14845278531</v>
          </cell>
          <cell r="S517">
            <v>51770.14845278531</v>
          </cell>
          <cell r="T517">
            <v>51770.14845278531</v>
          </cell>
          <cell r="U517">
            <v>51770.14845278531</v>
          </cell>
          <cell r="V517">
            <v>51770.14845278531</v>
          </cell>
          <cell r="W517">
            <v>51770.14845278531</v>
          </cell>
          <cell r="X517">
            <v>51770.14845278531</v>
          </cell>
          <cell r="Y517">
            <v>51770.14845278531</v>
          </cell>
          <cell r="Z517">
            <v>51770.14845278531</v>
          </cell>
          <cell r="AA517">
            <v>51770.14845278531</v>
          </cell>
          <cell r="AB517">
            <v>51770.14845278531</v>
          </cell>
          <cell r="AC517">
            <v>51770.14845278531</v>
          </cell>
          <cell r="AD517">
            <v>51770.14845278531</v>
          </cell>
          <cell r="AE517">
            <v>51770.14845278531</v>
          </cell>
          <cell r="AF517">
            <v>51770.14845278531</v>
          </cell>
          <cell r="AG517">
            <v>51770.14845278531</v>
          </cell>
          <cell r="AH517">
            <v>51770.14845278531</v>
          </cell>
          <cell r="AI517">
            <v>51770.14845278531</v>
          </cell>
          <cell r="AJ517">
            <v>0</v>
          </cell>
          <cell r="AK517">
            <v>0</v>
          </cell>
          <cell r="AL517">
            <v>0</v>
          </cell>
          <cell r="AM517">
            <v>0</v>
          </cell>
          <cell r="AN517">
            <v>0</v>
          </cell>
          <cell r="AO517">
            <v>0</v>
          </cell>
          <cell r="AP517">
            <v>0</v>
          </cell>
          <cell r="AQ517">
            <v>0</v>
          </cell>
          <cell r="AR517">
            <v>0</v>
          </cell>
          <cell r="AS517">
            <v>0</v>
          </cell>
          <cell r="AT517">
            <v>0</v>
          </cell>
        </row>
        <row r="518">
          <cell r="E518" t="str">
            <v>Sinter feed blend</v>
          </cell>
          <cell r="F518" t="str">
            <v>[R$ '000]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row>
        <row r="519">
          <cell r="E519" t="str">
            <v>CONC. FINO</v>
          </cell>
          <cell r="F519" t="str">
            <v>[R$ '000]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row>
        <row r="521">
          <cell r="B521">
            <v>6</v>
          </cell>
          <cell r="E521" t="str">
            <v>Taxes, royalties and contributions</v>
          </cell>
          <cell r="I521">
            <v>2013</v>
          </cell>
          <cell r="J521">
            <v>2014</v>
          </cell>
          <cell r="K521">
            <v>2015</v>
          </cell>
          <cell r="L521">
            <v>2016</v>
          </cell>
          <cell r="M521">
            <v>2017</v>
          </cell>
          <cell r="N521">
            <v>2018</v>
          </cell>
          <cell r="O521">
            <v>2019</v>
          </cell>
          <cell r="P521">
            <v>2020</v>
          </cell>
          <cell r="Q521">
            <v>2021</v>
          </cell>
          <cell r="R521">
            <v>2022</v>
          </cell>
          <cell r="S521">
            <v>2023</v>
          </cell>
          <cell r="T521">
            <v>2024</v>
          </cell>
          <cell r="U521">
            <v>2025</v>
          </cell>
          <cell r="V521">
            <v>2026</v>
          </cell>
          <cell r="W521">
            <v>2027</v>
          </cell>
          <cell r="X521">
            <v>2028</v>
          </cell>
          <cell r="Y521">
            <v>2029</v>
          </cell>
          <cell r="Z521">
            <v>2030</v>
          </cell>
          <cell r="AA521">
            <v>2031</v>
          </cell>
          <cell r="AB521">
            <v>2032</v>
          </cell>
          <cell r="AC521">
            <v>2033</v>
          </cell>
          <cell r="AD521">
            <v>2034</v>
          </cell>
          <cell r="AE521">
            <v>2035</v>
          </cell>
          <cell r="AF521">
            <v>2036</v>
          </cell>
          <cell r="AG521">
            <v>2037</v>
          </cell>
          <cell r="AH521">
            <v>2038</v>
          </cell>
          <cell r="AI521">
            <v>2039</v>
          </cell>
          <cell r="AJ521">
            <v>2040</v>
          </cell>
          <cell r="AK521">
            <v>2041</v>
          </cell>
          <cell r="AL521">
            <v>2042</v>
          </cell>
          <cell r="AM521">
            <v>2043</v>
          </cell>
          <cell r="AN521">
            <v>2044</v>
          </cell>
          <cell r="AO521">
            <v>2045</v>
          </cell>
          <cell r="AP521">
            <v>2046</v>
          </cell>
          <cell r="AQ521">
            <v>2047</v>
          </cell>
          <cell r="AR521">
            <v>2048</v>
          </cell>
          <cell r="AS521">
            <v>2049</v>
          </cell>
          <cell r="AT521">
            <v>2050</v>
          </cell>
        </row>
        <row r="523">
          <cell r="E523" t="str">
            <v>SUPPORT:</v>
          </cell>
        </row>
        <row r="524">
          <cell r="E524" t="str">
            <v>CFEM</v>
          </cell>
          <cell r="F524" t="str">
            <v>[%]</v>
          </cell>
          <cell r="L524">
            <v>1.7000000000000001E-2</v>
          </cell>
          <cell r="M524">
            <v>1.7000000000000001E-2</v>
          </cell>
          <cell r="N524">
            <v>1.7000000000000001E-2</v>
          </cell>
          <cell r="O524">
            <v>1.7000000000000001E-2</v>
          </cell>
          <cell r="P524">
            <v>1.7000000000000001E-2</v>
          </cell>
          <cell r="Q524">
            <v>1.7000000000000001E-2</v>
          </cell>
          <cell r="R524">
            <v>1.7000000000000001E-2</v>
          </cell>
          <cell r="S524">
            <v>1.7000000000000001E-2</v>
          </cell>
          <cell r="T524">
            <v>1.7000000000000001E-2</v>
          </cell>
          <cell r="U524">
            <v>1.7000000000000001E-2</v>
          </cell>
          <cell r="V524">
            <v>1.7000000000000001E-2</v>
          </cell>
          <cell r="W524">
            <v>1.7000000000000001E-2</v>
          </cell>
          <cell r="X524">
            <v>1.7000000000000001E-2</v>
          </cell>
          <cell r="Y524">
            <v>1.7000000000000001E-2</v>
          </cell>
          <cell r="Z524">
            <v>1.7000000000000001E-2</v>
          </cell>
          <cell r="AA524">
            <v>1.7000000000000001E-2</v>
          </cell>
          <cell r="AB524">
            <v>1.7000000000000001E-2</v>
          </cell>
          <cell r="AC524">
            <v>1.7000000000000001E-2</v>
          </cell>
          <cell r="AD524">
            <v>1.7000000000000001E-2</v>
          </cell>
          <cell r="AE524">
            <v>1.7000000000000001E-2</v>
          </cell>
          <cell r="AF524">
            <v>1.7000000000000001E-2</v>
          </cell>
          <cell r="AG524">
            <v>1.7000000000000001E-2</v>
          </cell>
          <cell r="AH524">
            <v>1.7000000000000001E-2</v>
          </cell>
          <cell r="AI524">
            <v>1.7000000000000001E-2</v>
          </cell>
          <cell r="AJ524">
            <v>1.7000000000000001E-2</v>
          </cell>
          <cell r="AK524">
            <v>1.7000000000000001E-2</v>
          </cell>
          <cell r="AL524">
            <v>1.7000000000000001E-2</v>
          </cell>
          <cell r="AM524">
            <v>1.7000000000000001E-2</v>
          </cell>
          <cell r="AN524">
            <v>1.7000000000000001E-2</v>
          </cell>
          <cell r="AO524">
            <v>1.7000000000000001E-2</v>
          </cell>
          <cell r="AP524">
            <v>1.7000000000000001E-2</v>
          </cell>
          <cell r="AQ524">
            <v>1.7000000000000001E-2</v>
          </cell>
          <cell r="AR524">
            <v>1.7000000000000001E-2</v>
          </cell>
          <cell r="AS524">
            <v>1.7000000000000001E-2</v>
          </cell>
          <cell r="AT524">
            <v>1.7000000000000001E-2</v>
          </cell>
        </row>
        <row r="525">
          <cell r="E525" t="str">
            <v>TFRM</v>
          </cell>
          <cell r="F525" t="str">
            <v>[R$/t]</v>
          </cell>
          <cell r="L525">
            <v>1.3005599999999999</v>
          </cell>
          <cell r="M525">
            <v>1.3005599999999999</v>
          </cell>
          <cell r="N525">
            <v>1.2043600000000001</v>
          </cell>
          <cell r="O525">
            <v>1.2043600000000001</v>
          </cell>
          <cell r="P525">
            <v>1.2043600000000001</v>
          </cell>
          <cell r="Q525">
            <v>1.2043600000000001</v>
          </cell>
          <cell r="R525">
            <v>1.2043600000000001</v>
          </cell>
          <cell r="S525">
            <v>1.2043600000000001</v>
          </cell>
          <cell r="T525">
            <v>1.2043600000000001</v>
          </cell>
          <cell r="U525">
            <v>1.2043600000000001</v>
          </cell>
          <cell r="V525">
            <v>1.2043600000000001</v>
          </cell>
          <cell r="W525">
            <v>1.2043600000000001</v>
          </cell>
          <cell r="X525">
            <v>1.2043600000000001</v>
          </cell>
          <cell r="Y525">
            <v>1.2043600000000001</v>
          </cell>
          <cell r="Z525">
            <v>1.2043600000000001</v>
          </cell>
          <cell r="AA525">
            <v>1.2043600000000001</v>
          </cell>
          <cell r="AB525">
            <v>1.2043600000000001</v>
          </cell>
          <cell r="AC525">
            <v>1.2043600000000001</v>
          </cell>
          <cell r="AD525">
            <v>1.2043600000000001</v>
          </cell>
          <cell r="AE525">
            <v>1.2043600000000001</v>
          </cell>
          <cell r="AF525">
            <v>1.2043600000000001</v>
          </cell>
          <cell r="AG525">
            <v>1.2043600000000001</v>
          </cell>
          <cell r="AH525">
            <v>1.2043600000000001</v>
          </cell>
          <cell r="AI525">
            <v>1.2043600000000001</v>
          </cell>
          <cell r="AJ525">
            <v>1.2043600000000001</v>
          </cell>
          <cell r="AK525">
            <v>1.2043600000000001</v>
          </cell>
          <cell r="AL525">
            <v>1.2043600000000001</v>
          </cell>
          <cell r="AM525">
            <v>1.2043600000000001</v>
          </cell>
          <cell r="AN525">
            <v>1.2043600000000001</v>
          </cell>
          <cell r="AO525">
            <v>1.2043600000000001</v>
          </cell>
          <cell r="AP525">
            <v>1.2043600000000001</v>
          </cell>
          <cell r="AQ525">
            <v>1.2043600000000001</v>
          </cell>
          <cell r="AR525">
            <v>1.2043600000000001</v>
          </cell>
          <cell r="AS525">
            <v>1.2043600000000001</v>
          </cell>
          <cell r="AT525">
            <v>1.2043600000000001</v>
          </cell>
        </row>
        <row r="526">
          <cell r="E526" t="str">
            <v>PIS Cofins (Brazil)</v>
          </cell>
          <cell r="F526" t="str">
            <v>[%]</v>
          </cell>
          <cell r="L526">
            <v>-7.2295871568615708E-2</v>
          </cell>
          <cell r="M526">
            <v>-6.9545769827012591E-2</v>
          </cell>
          <cell r="N526">
            <v>-6.9873696957855932E-2</v>
          </cell>
          <cell r="O526">
            <v>-9.2499999999999999E-2</v>
          </cell>
          <cell r="P526">
            <v>-9.2500000000000013E-2</v>
          </cell>
          <cell r="Q526">
            <v>-9.2500000000000013E-2</v>
          </cell>
          <cell r="R526">
            <v>-9.2499999999999999E-2</v>
          </cell>
          <cell r="S526">
            <v>-9.2499999999999999E-2</v>
          </cell>
          <cell r="T526">
            <v>-9.2499999999999999E-2</v>
          </cell>
          <cell r="U526">
            <v>-9.2499999999999999E-2</v>
          </cell>
          <cell r="V526">
            <v>-9.2499999999999999E-2</v>
          </cell>
          <cell r="W526">
            <v>-9.2499999999999999E-2</v>
          </cell>
          <cell r="X526">
            <v>-9.2499999999999999E-2</v>
          </cell>
          <cell r="Y526">
            <v>-9.2500000000000013E-2</v>
          </cell>
          <cell r="Z526">
            <v>-9.2500000000000013E-2</v>
          </cell>
          <cell r="AA526">
            <v>-9.2500000000000013E-2</v>
          </cell>
          <cell r="AB526">
            <v>-9.2500000000000013E-2</v>
          </cell>
          <cell r="AC526">
            <v>-9.2500000000000013E-2</v>
          </cell>
          <cell r="AD526">
            <v>-9.2500000000000013E-2</v>
          </cell>
          <cell r="AE526">
            <v>-9.2500000000000013E-2</v>
          </cell>
          <cell r="AF526">
            <v>-9.2500000000000013E-2</v>
          </cell>
          <cell r="AG526">
            <v>-9.2500000000000013E-2</v>
          </cell>
          <cell r="AH526">
            <v>-9.2500000000000013E-2</v>
          </cell>
          <cell r="AI526">
            <v>-9.2500000000000013E-2</v>
          </cell>
          <cell r="AJ526">
            <v>-9.2500000000000013E-2</v>
          </cell>
          <cell r="AK526" t="str">
            <v>n.a.</v>
          </cell>
          <cell r="AL526" t="str">
            <v>n.a.</v>
          </cell>
          <cell r="AM526" t="str">
            <v>n.a.</v>
          </cell>
          <cell r="AN526" t="str">
            <v>n.a.</v>
          </cell>
          <cell r="AO526" t="str">
            <v>n.a.</v>
          </cell>
          <cell r="AP526" t="str">
            <v>n.a.</v>
          </cell>
          <cell r="AQ526" t="str">
            <v>n.a.</v>
          </cell>
          <cell r="AR526" t="str">
            <v>n.a.</v>
          </cell>
          <cell r="AS526" t="str">
            <v>n.a.</v>
          </cell>
          <cell r="AT526" t="str">
            <v>n.a.</v>
          </cell>
        </row>
        <row r="527">
          <cell r="E527" t="str">
            <v>ICMS (Brazil)</v>
          </cell>
          <cell r="F527" t="str">
            <v>[%]</v>
          </cell>
          <cell r="L527">
            <v>-2.2877887173925433E-2</v>
          </cell>
          <cell r="M527">
            <v>-1.254547244145394E-2</v>
          </cell>
          <cell r="N527">
            <v>-7.5742319878129381E-3</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t="str">
            <v>n.a.</v>
          </cell>
          <cell r="AL527" t="str">
            <v>n.a.</v>
          </cell>
          <cell r="AM527" t="str">
            <v>n.a.</v>
          </cell>
          <cell r="AN527" t="str">
            <v>n.a.</v>
          </cell>
          <cell r="AO527" t="str">
            <v>n.a.</v>
          </cell>
          <cell r="AP527" t="str">
            <v>n.a.</v>
          </cell>
          <cell r="AQ527" t="str">
            <v>n.a.</v>
          </cell>
          <cell r="AR527" t="str">
            <v>n.a.</v>
          </cell>
          <cell r="AS527" t="str">
            <v>n.a.</v>
          </cell>
          <cell r="AT527" t="str">
            <v>n.a.</v>
          </cell>
        </row>
        <row r="530">
          <cell r="E530" t="str">
            <v xml:space="preserve">Taxes </v>
          </cell>
          <cell r="F530" t="str">
            <v>[R$ '000]</v>
          </cell>
          <cell r="I530">
            <v>-96727.944929999998</v>
          </cell>
          <cell r="J530">
            <v>-87754.825200000079</v>
          </cell>
          <cell r="K530">
            <v>-62780.113579999947</v>
          </cell>
          <cell r="L530">
            <v>-47042.472938354804</v>
          </cell>
          <cell r="M530">
            <v>-50398.763958980438</v>
          </cell>
          <cell r="N530">
            <v>-50972.145843778417</v>
          </cell>
          <cell r="O530">
            <v>-52132.845429396475</v>
          </cell>
          <cell r="P530">
            <v>-89985.193465485296</v>
          </cell>
          <cell r="Q530">
            <v>-89920.577787509494</v>
          </cell>
          <cell r="R530">
            <v>-89973.884787598741</v>
          </cell>
          <cell r="S530">
            <v>-89973.884787598741</v>
          </cell>
          <cell r="T530">
            <v>-89973.884787598741</v>
          </cell>
          <cell r="U530">
            <v>-89973.884787598741</v>
          </cell>
          <cell r="V530">
            <v>-89973.884787598741</v>
          </cell>
          <cell r="W530">
            <v>-89973.884787598741</v>
          </cell>
          <cell r="X530">
            <v>-65001.168494889236</v>
          </cell>
          <cell r="Y530">
            <v>-64992.636963089397</v>
          </cell>
          <cell r="Z530">
            <v>-64992.636963089397</v>
          </cell>
          <cell r="AA530">
            <v>-64992.636963089397</v>
          </cell>
          <cell r="AB530">
            <v>-64992.636963089397</v>
          </cell>
          <cell r="AC530">
            <v>-64992.636963089397</v>
          </cell>
          <cell r="AD530">
            <v>-64992.636963089397</v>
          </cell>
          <cell r="AE530">
            <v>-64992.636963089397</v>
          </cell>
          <cell r="AF530">
            <v>-64992.636963089397</v>
          </cell>
          <cell r="AG530">
            <v>-64992.63696308939</v>
          </cell>
          <cell r="AH530">
            <v>-64992.636963089397</v>
          </cell>
          <cell r="AI530">
            <v>-64992.636963089397</v>
          </cell>
          <cell r="AJ530">
            <v>-39944.390895528399</v>
          </cell>
          <cell r="AK530">
            <v>-25734.861793935164</v>
          </cell>
          <cell r="AL530">
            <v>-25734.861793935175</v>
          </cell>
          <cell r="AM530">
            <v>-25734.861793935175</v>
          </cell>
          <cell r="AN530">
            <v>-25734.861793935175</v>
          </cell>
          <cell r="AO530">
            <v>-25734.861793935172</v>
          </cell>
          <cell r="AP530">
            <v>-18933.708800153549</v>
          </cell>
          <cell r="AQ530">
            <v>0</v>
          </cell>
          <cell r="AR530">
            <v>0</v>
          </cell>
          <cell r="AS530">
            <v>0</v>
          </cell>
          <cell r="AT530">
            <v>0</v>
          </cell>
        </row>
        <row r="531">
          <cell r="E531" t="str">
            <v>CFEM</v>
          </cell>
          <cell r="F531" t="str">
            <v>[R$ '000]</v>
          </cell>
          <cell r="L531">
            <v>-6315.8256004899986</v>
          </cell>
          <cell r="M531">
            <v>-7177.3994937315383</v>
          </cell>
          <cell r="N531">
            <v>-7560.7782016507563</v>
          </cell>
          <cell r="O531">
            <v>-9385.8540938926799</v>
          </cell>
          <cell r="P531">
            <v>-21512.579476972071</v>
          </cell>
          <cell r="Q531">
            <v>-21447.963798996258</v>
          </cell>
          <cell r="R531">
            <v>-21491.81694766022</v>
          </cell>
          <cell r="S531">
            <v>-21491.81694766022</v>
          </cell>
          <cell r="T531">
            <v>-21491.816947660216</v>
          </cell>
          <cell r="U531">
            <v>-21491.816947660216</v>
          </cell>
          <cell r="V531">
            <v>-21491.81694766022</v>
          </cell>
          <cell r="W531">
            <v>-21491.81694766022</v>
          </cell>
          <cell r="X531">
            <v>-17910.436733725812</v>
          </cell>
          <cell r="Y531">
            <v>-17909.297164118849</v>
          </cell>
          <cell r="Z531">
            <v>-17909.297164118849</v>
          </cell>
          <cell r="AA531">
            <v>-17909.297164118849</v>
          </cell>
          <cell r="AB531">
            <v>-17909.297164118849</v>
          </cell>
          <cell r="AC531">
            <v>-17909.297164118849</v>
          </cell>
          <cell r="AD531">
            <v>-17909.297164118849</v>
          </cell>
          <cell r="AE531">
            <v>-17909.297164118849</v>
          </cell>
          <cell r="AF531">
            <v>-17909.297164118849</v>
          </cell>
          <cell r="AG531">
            <v>-17909.297164118841</v>
          </cell>
          <cell r="AH531">
            <v>-17909.297164118849</v>
          </cell>
          <cell r="AI531">
            <v>-17909.297164118849</v>
          </cell>
          <cell r="AJ531">
            <v>-18674.755505949295</v>
          </cell>
          <cell r="AK531">
            <v>-17056.834794041166</v>
          </cell>
          <cell r="AL531">
            <v>-17056.834794041173</v>
          </cell>
          <cell r="AM531">
            <v>-17056.834794041173</v>
          </cell>
          <cell r="AN531">
            <v>-17056.834794041173</v>
          </cell>
          <cell r="AO531">
            <v>-17056.83479404117</v>
          </cell>
          <cell r="AP531">
            <v>-12549.09179729151</v>
          </cell>
          <cell r="AQ531">
            <v>0</v>
          </cell>
          <cell r="AR531">
            <v>0</v>
          </cell>
          <cell r="AS531">
            <v>0</v>
          </cell>
          <cell r="AT531">
            <v>0</v>
          </cell>
        </row>
        <row r="532">
          <cell r="E532" t="str">
            <v>TFRM</v>
          </cell>
          <cell r="F532" t="str">
            <v>[R$ '000]</v>
          </cell>
          <cell r="L532">
            <v>-5367.7731048647975</v>
          </cell>
          <cell r="M532">
            <v>-5462.7966892070208</v>
          </cell>
          <cell r="N532">
            <v>-6074.6188999258002</v>
          </cell>
          <cell r="O532">
            <v>-6074.6188999258002</v>
          </cell>
          <cell r="P532">
            <v>-12149.2377998516</v>
          </cell>
          <cell r="Q532">
            <v>-12149.2377998516</v>
          </cell>
          <cell r="R532">
            <v>-12149.778659862201</v>
          </cell>
          <cell r="S532">
            <v>-12149.778659862201</v>
          </cell>
          <cell r="T532">
            <v>-12149.778659862201</v>
          </cell>
          <cell r="U532">
            <v>-12149.778659862201</v>
          </cell>
          <cell r="V532">
            <v>-12149.778659862201</v>
          </cell>
          <cell r="W532">
            <v>-12149.778659862201</v>
          </cell>
          <cell r="X532">
            <v>-10413.902829878098</v>
          </cell>
          <cell r="Y532">
            <v>-10413.343484029036</v>
          </cell>
          <cell r="Z532">
            <v>-10413.343484029036</v>
          </cell>
          <cell r="AA532">
            <v>-10413.343484029036</v>
          </cell>
          <cell r="AB532">
            <v>-10413.343484029036</v>
          </cell>
          <cell r="AC532">
            <v>-10413.343484029036</v>
          </cell>
          <cell r="AD532">
            <v>-10413.343484029036</v>
          </cell>
          <cell r="AE532">
            <v>-10413.343484029036</v>
          </cell>
          <cell r="AF532">
            <v>-10413.343484029036</v>
          </cell>
          <cell r="AG532">
            <v>-10413.343484029036</v>
          </cell>
          <cell r="AH532">
            <v>-10413.343484029036</v>
          </cell>
          <cell r="AI532">
            <v>-10413.343484029036</v>
          </cell>
          <cell r="AJ532">
            <v>-9449.3177041350064</v>
          </cell>
          <cell r="AK532">
            <v>-8678.0269998939984</v>
          </cell>
          <cell r="AL532">
            <v>-8678.0269998940021</v>
          </cell>
          <cell r="AM532">
            <v>-8678.0269998940021</v>
          </cell>
          <cell r="AN532">
            <v>-8678.0269998940021</v>
          </cell>
          <cell r="AO532">
            <v>-8678.0269998940021</v>
          </cell>
          <cell r="AP532">
            <v>-6384.617002862039</v>
          </cell>
          <cell r="AQ532">
            <v>0</v>
          </cell>
          <cell r="AR532">
            <v>0</v>
          </cell>
          <cell r="AS532">
            <v>0</v>
          </cell>
          <cell r="AT532">
            <v>0</v>
          </cell>
        </row>
        <row r="533">
          <cell r="E533" t="str">
            <v>PIS/COFINS</v>
          </cell>
          <cell r="F533" t="str">
            <v>[R$ '000]</v>
          </cell>
          <cell r="L533">
            <v>-26859.300968400006</v>
          </cell>
          <cell r="M533">
            <v>-31988.170613407336</v>
          </cell>
          <cell r="N533">
            <v>-33685.299303928216</v>
          </cell>
          <cell r="O533">
            <v>-36672.372435577992</v>
          </cell>
          <cell r="P533">
            <v>-56323.376188661634</v>
          </cell>
          <cell r="Q533">
            <v>-56323.376188661634</v>
          </cell>
          <cell r="R533">
            <v>-56332.289180076317</v>
          </cell>
          <cell r="S533">
            <v>-56332.289180076317</v>
          </cell>
          <cell r="T533">
            <v>-56332.289180076317</v>
          </cell>
          <cell r="U533">
            <v>-56332.289180076317</v>
          </cell>
          <cell r="V533">
            <v>-56332.289180076317</v>
          </cell>
          <cell r="W533">
            <v>-56332.289180076317</v>
          </cell>
          <cell r="X533">
            <v>-36676.82893128533</v>
          </cell>
          <cell r="Y533">
            <v>-36669.996314941513</v>
          </cell>
          <cell r="Z533">
            <v>-36669.996314941513</v>
          </cell>
          <cell r="AA533">
            <v>-36669.996314941513</v>
          </cell>
          <cell r="AB533">
            <v>-36669.996314941513</v>
          </cell>
          <cell r="AC533">
            <v>-36669.996314941513</v>
          </cell>
          <cell r="AD533">
            <v>-36669.996314941513</v>
          </cell>
          <cell r="AE533">
            <v>-36669.996314941513</v>
          </cell>
          <cell r="AF533">
            <v>-36669.996314941513</v>
          </cell>
          <cell r="AG533">
            <v>-36669.996314941513</v>
          </cell>
          <cell r="AH533">
            <v>-36669.996314941513</v>
          </cell>
          <cell r="AI533">
            <v>-36669.996314941513</v>
          </cell>
          <cell r="AJ533">
            <v>-11820.317685444094</v>
          </cell>
          <cell r="AK533">
            <v>0</v>
          </cell>
          <cell r="AL533">
            <v>0</v>
          </cell>
          <cell r="AM533">
            <v>0</v>
          </cell>
          <cell r="AN533">
            <v>0</v>
          </cell>
          <cell r="AO533">
            <v>0</v>
          </cell>
          <cell r="AP533">
            <v>0</v>
          </cell>
          <cell r="AQ533">
            <v>0</v>
          </cell>
          <cell r="AR533">
            <v>0</v>
          </cell>
          <cell r="AS533">
            <v>0</v>
          </cell>
          <cell r="AT533">
            <v>0</v>
          </cell>
        </row>
        <row r="534">
          <cell r="E534" t="str">
            <v>ICMS</v>
          </cell>
          <cell r="F534" t="str">
            <v>[R$ '000]</v>
          </cell>
          <cell r="L534">
            <v>-8499.5732646000015</v>
          </cell>
          <cell r="M534">
            <v>-5770.3971626345428</v>
          </cell>
          <cell r="N534">
            <v>-3651.4494382736457</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row>
        <row r="538">
          <cell r="E538" t="str">
            <v>VAT and ICMS</v>
          </cell>
          <cell r="M538">
            <v>-37758.567776041877</v>
          </cell>
          <cell r="N538">
            <v>-37336.74874220186</v>
          </cell>
          <cell r="O538">
            <v>-36672.372435577992</v>
          </cell>
          <cell r="P538">
            <v>-56323.376188661634</v>
          </cell>
          <cell r="Q538">
            <v>-56323.376188661634</v>
          </cell>
          <cell r="R538">
            <v>-56332.289180076317</v>
          </cell>
          <cell r="S538">
            <v>-56332.289180076317</v>
          </cell>
          <cell r="T538">
            <v>-56332.289180076317</v>
          </cell>
          <cell r="U538">
            <v>-56332.289180076317</v>
          </cell>
          <cell r="V538">
            <v>-56332.289180076317</v>
          </cell>
          <cell r="W538">
            <v>-56332.289180076317</v>
          </cell>
          <cell r="X538">
            <v>-36676.82893128533</v>
          </cell>
          <cell r="Y538">
            <v>-36669.996314941513</v>
          </cell>
          <cell r="Z538">
            <v>-36669.996314941513</v>
          </cell>
          <cell r="AA538">
            <v>-36669.996314941513</v>
          </cell>
          <cell r="AB538">
            <v>-36669.996314941513</v>
          </cell>
          <cell r="AC538">
            <v>-36669.996314941513</v>
          </cell>
          <cell r="AD538">
            <v>-36669.996314941513</v>
          </cell>
          <cell r="AE538">
            <v>-36669.996314941513</v>
          </cell>
          <cell r="AF538">
            <v>-36669.996314941513</v>
          </cell>
          <cell r="AG538">
            <v>-36669.996314941513</v>
          </cell>
          <cell r="AH538">
            <v>-36669.996314941513</v>
          </cell>
          <cell r="AI538">
            <v>-36669.996314941513</v>
          </cell>
          <cell r="AJ538">
            <v>-11820.317685444094</v>
          </cell>
          <cell r="AK538">
            <v>0</v>
          </cell>
          <cell r="AL538">
            <v>0</v>
          </cell>
          <cell r="AM538">
            <v>0</v>
          </cell>
          <cell r="AN538">
            <v>0</v>
          </cell>
          <cell r="AO538">
            <v>0</v>
          </cell>
          <cell r="AP538">
            <v>0</v>
          </cell>
          <cell r="AQ538">
            <v>0</v>
          </cell>
          <cell r="AR538">
            <v>0</v>
          </cell>
          <cell r="AS538">
            <v>0</v>
          </cell>
          <cell r="AT538">
            <v>0</v>
          </cell>
        </row>
        <row r="540">
          <cell r="E540" t="str">
            <v>VSB BH</v>
          </cell>
          <cell r="M540">
            <v>-5770.3971626345428</v>
          </cell>
          <cell r="N540">
            <v>-3651.4494382736457</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row>
        <row r="541">
          <cell r="E541" t="str">
            <v>Gross revenues</v>
          </cell>
          <cell r="F541" t="str">
            <v>[R$ '000]</v>
          </cell>
          <cell r="M541">
            <v>32057.762014636352</v>
          </cell>
          <cell r="N541">
            <v>20285.830212631365</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row>
        <row r="542">
          <cell r="E542" t="str">
            <v>PIS/COFINS</v>
          </cell>
          <cell r="F542" t="str">
            <v>[R$ '000]</v>
          </cell>
          <cell r="G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row>
        <row r="543">
          <cell r="E543" t="str">
            <v>ICMS</v>
          </cell>
          <cell r="F543" t="str">
            <v>[R$ '000]</v>
          </cell>
          <cell r="G543">
            <v>0.18</v>
          </cell>
          <cell r="M543">
            <v>-5770.3971626345428</v>
          </cell>
          <cell r="N543">
            <v>-3651.4494382736457</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row>
        <row r="545">
          <cell r="E545" t="str">
            <v>VSB Jeceaba</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row>
        <row r="546">
          <cell r="E546" t="str">
            <v>Gross revenues</v>
          </cell>
          <cell r="F546" t="str">
            <v>[R$ '000]</v>
          </cell>
          <cell r="M546">
            <v>82082.715295422982</v>
          </cell>
          <cell r="N546">
            <v>97637.179569898202</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row>
        <row r="547">
          <cell r="E547" t="str">
            <v>PIS/COFINS</v>
          </cell>
          <cell r="F547" t="str">
            <v>[R$ '000]</v>
          </cell>
          <cell r="G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row>
        <row r="548">
          <cell r="E548" t="str">
            <v>ICMS</v>
          </cell>
          <cell r="F548" t="str">
            <v>[R$ '000]</v>
          </cell>
          <cell r="G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row>
        <row r="550">
          <cell r="E550" t="str">
            <v>Client A</v>
          </cell>
          <cell r="M550">
            <v>-2877.757753518697</v>
          </cell>
          <cell r="N550">
            <v>-7338.0529996773939</v>
          </cell>
          <cell r="O550">
            <v>-7338.0529996773939</v>
          </cell>
          <cell r="P550">
            <v>-8901.0409103628554</v>
          </cell>
          <cell r="Q550">
            <v>-8901.0409103628554</v>
          </cell>
          <cell r="R550">
            <v>-8901.0409103628554</v>
          </cell>
          <cell r="S550">
            <v>-8901.0409103628554</v>
          </cell>
          <cell r="T550">
            <v>-8901.0409103628554</v>
          </cell>
          <cell r="U550">
            <v>-8901.0409103628554</v>
          </cell>
          <cell r="V550">
            <v>-8901.0409103628554</v>
          </cell>
          <cell r="W550">
            <v>-8901.0409103628554</v>
          </cell>
          <cell r="X550">
            <v>-7338.0529996773939</v>
          </cell>
          <cell r="Y550">
            <v>-7338.0529996773939</v>
          </cell>
          <cell r="Z550">
            <v>-7338.0529996773939</v>
          </cell>
          <cell r="AA550">
            <v>-7338.0529996773939</v>
          </cell>
          <cell r="AB550">
            <v>-7338.0529996773939</v>
          </cell>
          <cell r="AC550">
            <v>-7338.0529996773939</v>
          </cell>
          <cell r="AD550">
            <v>-7338.0529996773939</v>
          </cell>
          <cell r="AE550">
            <v>-7338.0529996773939</v>
          </cell>
          <cell r="AF550">
            <v>-7338.0529996773939</v>
          </cell>
          <cell r="AG550">
            <v>-7338.0529996773939</v>
          </cell>
          <cell r="AH550">
            <v>-7338.0529996773939</v>
          </cell>
          <cell r="AI550">
            <v>-7338.0529996773939</v>
          </cell>
          <cell r="AJ550">
            <v>-940.26992563600641</v>
          </cell>
          <cell r="AK550">
            <v>0</v>
          </cell>
          <cell r="AL550">
            <v>0</v>
          </cell>
          <cell r="AM550">
            <v>0</v>
          </cell>
          <cell r="AN550">
            <v>0</v>
          </cell>
          <cell r="AO550">
            <v>0</v>
          </cell>
          <cell r="AP550">
            <v>0</v>
          </cell>
          <cell r="AQ550">
            <v>0</v>
          </cell>
          <cell r="AR550">
            <v>0</v>
          </cell>
          <cell r="AS550">
            <v>0</v>
          </cell>
          <cell r="AT550">
            <v>0</v>
          </cell>
        </row>
        <row r="551">
          <cell r="E551" t="str">
            <v>Gross revenues</v>
          </cell>
          <cell r="F551" t="str">
            <v>[R$ '000]</v>
          </cell>
          <cell r="M551">
            <v>31110.894632634561</v>
          </cell>
          <cell r="N551">
            <v>79330.30269921507</v>
          </cell>
          <cell r="O551">
            <v>79330.30269921507</v>
          </cell>
          <cell r="P551">
            <v>96227.469301220059</v>
          </cell>
          <cell r="Q551">
            <v>96227.469301220059</v>
          </cell>
          <cell r="R551">
            <v>96227.469301220059</v>
          </cell>
          <cell r="S551">
            <v>96227.469301220059</v>
          </cell>
          <cell r="T551">
            <v>96227.469301220059</v>
          </cell>
          <cell r="U551">
            <v>96227.469301220059</v>
          </cell>
          <cell r="V551">
            <v>96227.469301220059</v>
          </cell>
          <cell r="W551">
            <v>96227.469301220059</v>
          </cell>
          <cell r="X551">
            <v>79330.30269921507</v>
          </cell>
          <cell r="Y551">
            <v>79330.30269921507</v>
          </cell>
          <cell r="Z551">
            <v>79330.30269921507</v>
          </cell>
          <cell r="AA551">
            <v>79330.30269921507</v>
          </cell>
          <cell r="AB551">
            <v>79330.30269921507</v>
          </cell>
          <cell r="AC551">
            <v>79330.30269921507</v>
          </cell>
          <cell r="AD551">
            <v>79330.30269921507</v>
          </cell>
          <cell r="AE551">
            <v>79330.30269921507</v>
          </cell>
          <cell r="AF551">
            <v>79330.30269921507</v>
          </cell>
          <cell r="AG551">
            <v>79330.30269921507</v>
          </cell>
          <cell r="AH551">
            <v>79330.30269921507</v>
          </cell>
          <cell r="AI551">
            <v>79330.30269921507</v>
          </cell>
          <cell r="AJ551">
            <v>10165.080277146015</v>
          </cell>
          <cell r="AK551">
            <v>0</v>
          </cell>
          <cell r="AL551">
            <v>0</v>
          </cell>
          <cell r="AM551">
            <v>0</v>
          </cell>
          <cell r="AN551">
            <v>0</v>
          </cell>
          <cell r="AO551">
            <v>0</v>
          </cell>
          <cell r="AP551">
            <v>0</v>
          </cell>
          <cell r="AQ551">
            <v>0</v>
          </cell>
          <cell r="AR551">
            <v>0</v>
          </cell>
          <cell r="AS551">
            <v>0</v>
          </cell>
          <cell r="AT551">
            <v>0</v>
          </cell>
        </row>
        <row r="552">
          <cell r="E552" t="str">
            <v>PIS/COFINS</v>
          </cell>
          <cell r="F552" t="str">
            <v>[R$ '000]</v>
          </cell>
          <cell r="G552">
            <v>9.2499999999999999E-2</v>
          </cell>
          <cell r="M552">
            <v>-2877.757753518697</v>
          </cell>
          <cell r="N552">
            <v>-7338.0529996773939</v>
          </cell>
          <cell r="O552">
            <v>-7338.0529996773939</v>
          </cell>
          <cell r="P552">
            <v>-8901.0409103628554</v>
          </cell>
          <cell r="Q552">
            <v>-8901.0409103628554</v>
          </cell>
          <cell r="R552">
            <v>-8901.0409103628554</v>
          </cell>
          <cell r="S552">
            <v>-8901.0409103628554</v>
          </cell>
          <cell r="T552">
            <v>-8901.0409103628554</v>
          </cell>
          <cell r="U552">
            <v>-8901.0409103628554</v>
          </cell>
          <cell r="V552">
            <v>-8901.0409103628554</v>
          </cell>
          <cell r="W552">
            <v>-8901.0409103628554</v>
          </cell>
          <cell r="X552">
            <v>-7338.0529996773939</v>
          </cell>
          <cell r="Y552">
            <v>-7338.0529996773939</v>
          </cell>
          <cell r="Z552">
            <v>-7338.0529996773939</v>
          </cell>
          <cell r="AA552">
            <v>-7338.0529996773939</v>
          </cell>
          <cell r="AB552">
            <v>-7338.0529996773939</v>
          </cell>
          <cell r="AC552">
            <v>-7338.0529996773939</v>
          </cell>
          <cell r="AD552">
            <v>-7338.0529996773939</v>
          </cell>
          <cell r="AE552">
            <v>-7338.0529996773939</v>
          </cell>
          <cell r="AF552">
            <v>-7338.0529996773939</v>
          </cell>
          <cell r="AG552">
            <v>-7338.0529996773939</v>
          </cell>
          <cell r="AH552">
            <v>-7338.0529996773939</v>
          </cell>
          <cell r="AI552">
            <v>-7338.0529996773939</v>
          </cell>
          <cell r="AJ552">
            <v>-940.26992563600641</v>
          </cell>
          <cell r="AK552">
            <v>0</v>
          </cell>
          <cell r="AL552">
            <v>0</v>
          </cell>
          <cell r="AM552">
            <v>0</v>
          </cell>
          <cell r="AN552">
            <v>0</v>
          </cell>
          <cell r="AO552">
            <v>0</v>
          </cell>
          <cell r="AP552">
            <v>0</v>
          </cell>
          <cell r="AQ552">
            <v>0</v>
          </cell>
          <cell r="AR552">
            <v>0</v>
          </cell>
          <cell r="AS552">
            <v>0</v>
          </cell>
          <cell r="AT552">
            <v>0</v>
          </cell>
        </row>
        <row r="553">
          <cell r="E553" t="str">
            <v>ICMS</v>
          </cell>
          <cell r="F553" t="str">
            <v>[R$ '000]</v>
          </cell>
          <cell r="G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row>
        <row r="555">
          <cell r="E555" t="str">
            <v>Client B</v>
          </cell>
          <cell r="M555">
            <v>-17488.932836777898</v>
          </cell>
          <cell r="N555">
            <v>-13019.285204605792</v>
          </cell>
          <cell r="O555">
            <v>-16006.358336255567</v>
          </cell>
          <cell r="P555">
            <v>-34094.37417865375</v>
          </cell>
          <cell r="Q555">
            <v>-34094.37417865375</v>
          </cell>
          <cell r="R555">
            <v>-34103.287170068434</v>
          </cell>
          <cell r="S555">
            <v>-34103.287170068434</v>
          </cell>
          <cell r="T555">
            <v>-34103.287170068434</v>
          </cell>
          <cell r="U555">
            <v>-34103.287170068434</v>
          </cell>
          <cell r="V555">
            <v>-34103.287170068434</v>
          </cell>
          <cell r="W555">
            <v>-34103.287170068434</v>
          </cell>
          <cell r="X555">
            <v>-16010.814831962909</v>
          </cell>
          <cell r="Y555">
            <v>-16003.982215619091</v>
          </cell>
          <cell r="Z555">
            <v>-16003.982215619091</v>
          </cell>
          <cell r="AA555">
            <v>-16003.982215619091</v>
          </cell>
          <cell r="AB555">
            <v>-16003.982215619091</v>
          </cell>
          <cell r="AC555">
            <v>-16003.982215619091</v>
          </cell>
          <cell r="AD555">
            <v>-16003.982215619091</v>
          </cell>
          <cell r="AE555">
            <v>-16003.982215619091</v>
          </cell>
          <cell r="AF555">
            <v>-16003.982215619091</v>
          </cell>
          <cell r="AG555">
            <v>-16003.982215619091</v>
          </cell>
          <cell r="AH555">
            <v>-16003.982215619091</v>
          </cell>
          <cell r="AI555">
            <v>-16003.982215619091</v>
          </cell>
          <cell r="AJ555">
            <v>-10880.047759808087</v>
          </cell>
          <cell r="AK555">
            <v>0</v>
          </cell>
          <cell r="AL555">
            <v>0</v>
          </cell>
          <cell r="AM555">
            <v>0</v>
          </cell>
          <cell r="AN555">
            <v>0</v>
          </cell>
          <cell r="AO555">
            <v>0</v>
          </cell>
          <cell r="AP555">
            <v>0</v>
          </cell>
          <cell r="AQ555">
            <v>0</v>
          </cell>
          <cell r="AR555">
            <v>0</v>
          </cell>
          <cell r="AS555">
            <v>0</v>
          </cell>
          <cell r="AT555">
            <v>0</v>
          </cell>
        </row>
        <row r="556">
          <cell r="E556" t="str">
            <v>Gross revenues</v>
          </cell>
          <cell r="F556" t="str">
            <v>[R$ '000]</v>
          </cell>
          <cell r="M556">
            <v>189069.54418138269</v>
          </cell>
          <cell r="N556">
            <v>140749.02923898154</v>
          </cell>
          <cell r="O556">
            <v>173041.71174330343</v>
          </cell>
          <cell r="P556">
            <v>368587.82895841892</v>
          </cell>
          <cell r="Q556">
            <v>368587.82895841892</v>
          </cell>
          <cell r="R556">
            <v>368684.18562236143</v>
          </cell>
          <cell r="S556">
            <v>368684.18562236143</v>
          </cell>
          <cell r="T556">
            <v>368684.18562236143</v>
          </cell>
          <cell r="U556">
            <v>368684.18562236143</v>
          </cell>
          <cell r="V556">
            <v>368684.18562236143</v>
          </cell>
          <cell r="W556">
            <v>368684.18562236143</v>
          </cell>
          <cell r="X556">
            <v>173089.89007527468</v>
          </cell>
          <cell r="Y556">
            <v>173016.02395263882</v>
          </cell>
          <cell r="Z556">
            <v>173016.02395263882</v>
          </cell>
          <cell r="AA556">
            <v>173016.02395263882</v>
          </cell>
          <cell r="AB556">
            <v>173016.02395263882</v>
          </cell>
          <cell r="AC556">
            <v>173016.02395263882</v>
          </cell>
          <cell r="AD556">
            <v>173016.02395263882</v>
          </cell>
          <cell r="AE556">
            <v>173016.02395263882</v>
          </cell>
          <cell r="AF556">
            <v>173016.02395263882</v>
          </cell>
          <cell r="AG556">
            <v>173016.02395263882</v>
          </cell>
          <cell r="AH556">
            <v>173016.02395263882</v>
          </cell>
          <cell r="AI556">
            <v>173016.02395263882</v>
          </cell>
          <cell r="AJ556">
            <v>117622.1379438712</v>
          </cell>
          <cell r="AK556">
            <v>0</v>
          </cell>
          <cell r="AL556">
            <v>0</v>
          </cell>
          <cell r="AM556">
            <v>0</v>
          </cell>
          <cell r="AN556">
            <v>0</v>
          </cell>
          <cell r="AO556">
            <v>0</v>
          </cell>
          <cell r="AP556">
            <v>0</v>
          </cell>
          <cell r="AQ556">
            <v>0</v>
          </cell>
          <cell r="AR556">
            <v>0</v>
          </cell>
          <cell r="AS556">
            <v>0</v>
          </cell>
          <cell r="AT556">
            <v>0</v>
          </cell>
        </row>
        <row r="557">
          <cell r="E557" t="str">
            <v>PIS/COFINS</v>
          </cell>
          <cell r="F557" t="str">
            <v>[R$ '000]</v>
          </cell>
          <cell r="G557">
            <v>9.2499999999999999E-2</v>
          </cell>
          <cell r="M557">
            <v>-17488.932836777898</v>
          </cell>
          <cell r="N557">
            <v>-13019.285204605792</v>
          </cell>
          <cell r="O557">
            <v>-16006.358336255567</v>
          </cell>
          <cell r="P557">
            <v>-34094.37417865375</v>
          </cell>
          <cell r="Q557">
            <v>-34094.37417865375</v>
          </cell>
          <cell r="R557">
            <v>-34103.287170068434</v>
          </cell>
          <cell r="S557">
            <v>-34103.287170068434</v>
          </cell>
          <cell r="T557">
            <v>-34103.287170068434</v>
          </cell>
          <cell r="U557">
            <v>-34103.287170068434</v>
          </cell>
          <cell r="V557">
            <v>-34103.287170068434</v>
          </cell>
          <cell r="W557">
            <v>-34103.287170068434</v>
          </cell>
          <cell r="X557">
            <v>-16010.814831962909</v>
          </cell>
          <cell r="Y557">
            <v>-16003.982215619091</v>
          </cell>
          <cell r="Z557">
            <v>-16003.982215619091</v>
          </cell>
          <cell r="AA557">
            <v>-16003.982215619091</v>
          </cell>
          <cell r="AB557">
            <v>-16003.982215619091</v>
          </cell>
          <cell r="AC557">
            <v>-16003.982215619091</v>
          </cell>
          <cell r="AD557">
            <v>-16003.982215619091</v>
          </cell>
          <cell r="AE557">
            <v>-16003.982215619091</v>
          </cell>
          <cell r="AF557">
            <v>-16003.982215619091</v>
          </cell>
          <cell r="AG557">
            <v>-16003.982215619091</v>
          </cell>
          <cell r="AH557">
            <v>-16003.982215619091</v>
          </cell>
          <cell r="AI557">
            <v>-16003.982215619091</v>
          </cell>
          <cell r="AJ557">
            <v>-10880.047759808087</v>
          </cell>
          <cell r="AK557">
            <v>0</v>
          </cell>
          <cell r="AL557">
            <v>0</v>
          </cell>
          <cell r="AM557">
            <v>0</v>
          </cell>
          <cell r="AN557">
            <v>0</v>
          </cell>
          <cell r="AO557">
            <v>0</v>
          </cell>
          <cell r="AP557">
            <v>0</v>
          </cell>
          <cell r="AQ557">
            <v>0</v>
          </cell>
          <cell r="AR557">
            <v>0</v>
          </cell>
          <cell r="AS557">
            <v>0</v>
          </cell>
          <cell r="AT557">
            <v>0</v>
          </cell>
        </row>
        <row r="558">
          <cell r="E558" t="str">
            <v>ICMS</v>
          </cell>
          <cell r="F558" t="str">
            <v>[R$ '000]</v>
          </cell>
          <cell r="G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row>
        <row r="560">
          <cell r="E560" t="str">
            <v>Client C</v>
          </cell>
          <cell r="M560">
            <v>-11621.48002311074</v>
          </cell>
          <cell r="N560">
            <v>-13327.96109964503</v>
          </cell>
          <cell r="O560">
            <v>-13327.96109964503</v>
          </cell>
          <cell r="P560">
            <v>-13327.96109964503</v>
          </cell>
          <cell r="Q560">
            <v>-13327.96109964503</v>
          </cell>
          <cell r="R560">
            <v>-13327.96109964503</v>
          </cell>
          <cell r="S560">
            <v>-13327.96109964503</v>
          </cell>
          <cell r="T560">
            <v>-13327.96109964503</v>
          </cell>
          <cell r="U560">
            <v>-13327.96109964503</v>
          </cell>
          <cell r="V560">
            <v>-13327.96109964503</v>
          </cell>
          <cell r="W560">
            <v>-13327.96109964503</v>
          </cell>
          <cell r="X560">
            <v>-13327.96109964503</v>
          </cell>
          <cell r="Y560">
            <v>-13327.96109964503</v>
          </cell>
          <cell r="Z560">
            <v>-13327.96109964503</v>
          </cell>
          <cell r="AA560">
            <v>-13327.96109964503</v>
          </cell>
          <cell r="AB560">
            <v>-13327.96109964503</v>
          </cell>
          <cell r="AC560">
            <v>-13327.96109964503</v>
          </cell>
          <cell r="AD560">
            <v>-13327.96109964503</v>
          </cell>
          <cell r="AE560">
            <v>-13327.96109964503</v>
          </cell>
          <cell r="AF560">
            <v>-13327.96109964503</v>
          </cell>
          <cell r="AG560">
            <v>-13327.96109964503</v>
          </cell>
          <cell r="AH560">
            <v>-13327.96109964503</v>
          </cell>
          <cell r="AI560">
            <v>-13327.96109964503</v>
          </cell>
          <cell r="AJ560">
            <v>0</v>
          </cell>
          <cell r="AK560">
            <v>0</v>
          </cell>
          <cell r="AL560">
            <v>0</v>
          </cell>
          <cell r="AM560">
            <v>0</v>
          </cell>
          <cell r="AN560">
            <v>0</v>
          </cell>
          <cell r="AO560">
            <v>0</v>
          </cell>
          <cell r="AP560">
            <v>0</v>
          </cell>
          <cell r="AQ560">
            <v>0</v>
          </cell>
          <cell r="AR560">
            <v>0</v>
          </cell>
          <cell r="AS560">
            <v>0</v>
          </cell>
          <cell r="AT560">
            <v>0</v>
          </cell>
        </row>
        <row r="561">
          <cell r="E561" t="str">
            <v>Gross revenues</v>
          </cell>
          <cell r="F561" t="str">
            <v>[R$ '000]</v>
          </cell>
          <cell r="M561">
            <v>125637.62187146746</v>
          </cell>
          <cell r="N561">
            <v>144086.06594210843</v>
          </cell>
          <cell r="O561">
            <v>144086.06594210843</v>
          </cell>
          <cell r="P561">
            <v>144086.06594210843</v>
          </cell>
          <cell r="Q561">
            <v>144086.06594210843</v>
          </cell>
          <cell r="R561">
            <v>144086.06594210843</v>
          </cell>
          <cell r="S561">
            <v>144086.06594210843</v>
          </cell>
          <cell r="T561">
            <v>144086.06594210843</v>
          </cell>
          <cell r="U561">
            <v>144086.06594210843</v>
          </cell>
          <cell r="V561">
            <v>144086.06594210843</v>
          </cell>
          <cell r="W561">
            <v>144086.06594210843</v>
          </cell>
          <cell r="X561">
            <v>144086.06594210843</v>
          </cell>
          <cell r="Y561">
            <v>144086.06594210843</v>
          </cell>
          <cell r="Z561">
            <v>144086.06594210843</v>
          </cell>
          <cell r="AA561">
            <v>144086.06594210843</v>
          </cell>
          <cell r="AB561">
            <v>144086.06594210843</v>
          </cell>
          <cell r="AC561">
            <v>144086.06594210843</v>
          </cell>
          <cell r="AD561">
            <v>144086.06594210843</v>
          </cell>
          <cell r="AE561">
            <v>144086.06594210843</v>
          </cell>
          <cell r="AF561">
            <v>144086.06594210843</v>
          </cell>
          <cell r="AG561">
            <v>144086.06594210843</v>
          </cell>
          <cell r="AH561">
            <v>144086.06594210843</v>
          </cell>
          <cell r="AI561">
            <v>144086.06594210843</v>
          </cell>
          <cell r="AJ561">
            <v>0</v>
          </cell>
          <cell r="AK561">
            <v>0</v>
          </cell>
          <cell r="AL561">
            <v>0</v>
          </cell>
          <cell r="AM561">
            <v>0</v>
          </cell>
          <cell r="AN561">
            <v>0</v>
          </cell>
          <cell r="AO561">
            <v>0</v>
          </cell>
          <cell r="AP561">
            <v>0</v>
          </cell>
          <cell r="AQ561">
            <v>0</v>
          </cell>
          <cell r="AR561">
            <v>0</v>
          </cell>
          <cell r="AS561">
            <v>0</v>
          </cell>
          <cell r="AT561">
            <v>0</v>
          </cell>
        </row>
        <row r="562">
          <cell r="E562" t="str">
            <v>PIS/COFINS</v>
          </cell>
          <cell r="F562" t="str">
            <v>[R$ '000]</v>
          </cell>
          <cell r="G562">
            <v>9.2499999999999999E-2</v>
          </cell>
          <cell r="M562">
            <v>-11621.48002311074</v>
          </cell>
          <cell r="N562">
            <v>-13327.96109964503</v>
          </cell>
          <cell r="O562">
            <v>-13327.96109964503</v>
          </cell>
          <cell r="P562">
            <v>-13327.96109964503</v>
          </cell>
          <cell r="Q562">
            <v>-13327.96109964503</v>
          </cell>
          <cell r="R562">
            <v>-13327.96109964503</v>
          </cell>
          <cell r="S562">
            <v>-13327.96109964503</v>
          </cell>
          <cell r="T562">
            <v>-13327.96109964503</v>
          </cell>
          <cell r="U562">
            <v>-13327.96109964503</v>
          </cell>
          <cell r="V562">
            <v>-13327.96109964503</v>
          </cell>
          <cell r="W562">
            <v>-13327.96109964503</v>
          </cell>
          <cell r="X562">
            <v>-13327.96109964503</v>
          </cell>
          <cell r="Y562">
            <v>-13327.96109964503</v>
          </cell>
          <cell r="Z562">
            <v>-13327.96109964503</v>
          </cell>
          <cell r="AA562">
            <v>-13327.96109964503</v>
          </cell>
          <cell r="AB562">
            <v>-13327.96109964503</v>
          </cell>
          <cell r="AC562">
            <v>-13327.96109964503</v>
          </cell>
          <cell r="AD562">
            <v>-13327.96109964503</v>
          </cell>
          <cell r="AE562">
            <v>-13327.96109964503</v>
          </cell>
          <cell r="AF562">
            <v>-13327.96109964503</v>
          </cell>
          <cell r="AG562">
            <v>-13327.96109964503</v>
          </cell>
          <cell r="AH562">
            <v>-13327.96109964503</v>
          </cell>
          <cell r="AI562">
            <v>-13327.96109964503</v>
          </cell>
          <cell r="AJ562">
            <v>0</v>
          </cell>
          <cell r="AK562">
            <v>0</v>
          </cell>
          <cell r="AL562">
            <v>0</v>
          </cell>
          <cell r="AM562">
            <v>0</v>
          </cell>
          <cell r="AN562">
            <v>0</v>
          </cell>
          <cell r="AO562">
            <v>0</v>
          </cell>
          <cell r="AP562">
            <v>0</v>
          </cell>
          <cell r="AQ562">
            <v>0</v>
          </cell>
          <cell r="AR562">
            <v>0</v>
          </cell>
          <cell r="AS562">
            <v>0</v>
          </cell>
          <cell r="AT562">
            <v>0</v>
          </cell>
        </row>
        <row r="563">
          <cell r="E563" t="str">
            <v>ICMS</v>
          </cell>
          <cell r="F563" t="str">
            <v>[R$ '000]</v>
          </cell>
          <cell r="G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row>
        <row r="565">
          <cell r="A565" t="str">
            <v>x</v>
          </cell>
          <cell r="B565">
            <v>7</v>
          </cell>
          <cell r="E565" t="str">
            <v>Costs</v>
          </cell>
          <cell r="I565">
            <v>2013</v>
          </cell>
          <cell r="J565">
            <v>2014</v>
          </cell>
          <cell r="K565">
            <v>2015</v>
          </cell>
          <cell r="L565">
            <v>2016</v>
          </cell>
          <cell r="M565">
            <v>2017</v>
          </cell>
          <cell r="N565">
            <v>2018</v>
          </cell>
          <cell r="O565">
            <v>2019</v>
          </cell>
          <cell r="P565">
            <v>2020</v>
          </cell>
          <cell r="Q565">
            <v>2021</v>
          </cell>
          <cell r="R565">
            <v>2022</v>
          </cell>
          <cell r="S565">
            <v>2023</v>
          </cell>
          <cell r="T565">
            <v>2024</v>
          </cell>
          <cell r="U565">
            <v>2025</v>
          </cell>
          <cell r="V565">
            <v>2026</v>
          </cell>
          <cell r="W565">
            <v>2027</v>
          </cell>
          <cell r="X565">
            <v>2028</v>
          </cell>
          <cell r="Y565">
            <v>2029</v>
          </cell>
          <cell r="Z565">
            <v>2030</v>
          </cell>
          <cell r="AA565">
            <v>2031</v>
          </cell>
          <cell r="AB565">
            <v>2032</v>
          </cell>
          <cell r="AC565">
            <v>2033</v>
          </cell>
          <cell r="AD565">
            <v>2034</v>
          </cell>
          <cell r="AE565">
            <v>2035</v>
          </cell>
          <cell r="AF565">
            <v>2036</v>
          </cell>
          <cell r="AG565">
            <v>2037</v>
          </cell>
          <cell r="AH565">
            <v>2038</v>
          </cell>
          <cell r="AI565">
            <v>2039</v>
          </cell>
          <cell r="AJ565">
            <v>2040</v>
          </cell>
          <cell r="AK565">
            <v>2041</v>
          </cell>
          <cell r="AL565">
            <v>2042</v>
          </cell>
          <cell r="AM565">
            <v>2043</v>
          </cell>
          <cell r="AN565">
            <v>2044</v>
          </cell>
          <cell r="AO565">
            <v>2045</v>
          </cell>
          <cell r="AP565">
            <v>2046</v>
          </cell>
          <cell r="AQ565">
            <v>2047</v>
          </cell>
          <cell r="AR565">
            <v>2048</v>
          </cell>
          <cell r="AS565">
            <v>2049</v>
          </cell>
          <cell r="AT565">
            <v>2050</v>
          </cell>
        </row>
        <row r="567">
          <cell r="E567" t="str">
            <v>Costs</v>
          </cell>
          <cell r="F567" t="str">
            <v>[R$ '000]</v>
          </cell>
          <cell r="I567">
            <v>-129788</v>
          </cell>
          <cell r="J567">
            <v>-134012</v>
          </cell>
          <cell r="K567">
            <v>-141081</v>
          </cell>
          <cell r="L567">
            <v>-156775</v>
          </cell>
          <cell r="M567">
            <v>-173797.43076270548</v>
          </cell>
          <cell r="N567">
            <v>-196986.67792442389</v>
          </cell>
          <cell r="O567">
            <v>-288207.67261883983</v>
          </cell>
          <cell r="P567">
            <v>-660157.09467213578</v>
          </cell>
          <cell r="Q567">
            <v>-661315.53295178828</v>
          </cell>
          <cell r="R567">
            <v>-661320.85460903833</v>
          </cell>
          <cell r="S567">
            <v>-661320.85460903833</v>
          </cell>
          <cell r="T567">
            <v>-661320.85460903833</v>
          </cell>
          <cell r="U567">
            <v>-661320.85460903833</v>
          </cell>
          <cell r="V567">
            <v>-661320.85460903833</v>
          </cell>
          <cell r="W567">
            <v>-661320.85460903833</v>
          </cell>
          <cell r="X567">
            <v>-543057.67753135692</v>
          </cell>
          <cell r="Y567">
            <v>-543052.17398730735</v>
          </cell>
          <cell r="Z567">
            <v>-543052.17398730735</v>
          </cell>
          <cell r="AA567">
            <v>-543052.17398730735</v>
          </cell>
          <cell r="AB567">
            <v>-543052.17398730735</v>
          </cell>
          <cell r="AC567">
            <v>-543052.17398730735</v>
          </cell>
          <cell r="AD567">
            <v>-543052.17398730735</v>
          </cell>
          <cell r="AE567">
            <v>-543052.17398730735</v>
          </cell>
          <cell r="AF567">
            <v>-543052.17398730735</v>
          </cell>
          <cell r="AG567">
            <v>-543052.17398730735</v>
          </cell>
          <cell r="AH567">
            <v>-543052.17398730747</v>
          </cell>
          <cell r="AI567">
            <v>-543052.17398730735</v>
          </cell>
          <cell r="AJ567">
            <v>-647058.31523488392</v>
          </cell>
          <cell r="AK567">
            <v>-648857.97778405074</v>
          </cell>
          <cell r="AL567">
            <v>-648857.97778405098</v>
          </cell>
          <cell r="AM567">
            <v>-648857.97778405098</v>
          </cell>
          <cell r="AN567">
            <v>-648857.97778405098</v>
          </cell>
          <cell r="AO567">
            <v>-648857.97778405086</v>
          </cell>
          <cell r="AP567">
            <v>-498218.92193319945</v>
          </cell>
          <cell r="AQ567">
            <v>0</v>
          </cell>
          <cell r="AR567">
            <v>0</v>
          </cell>
          <cell r="AS567">
            <v>0</v>
          </cell>
          <cell r="AT567">
            <v>0</v>
          </cell>
        </row>
        <row r="568">
          <cell r="E568" t="str">
            <v>Variable costs</v>
          </cell>
          <cell r="F568" t="str">
            <v>[R$ '000]</v>
          </cell>
          <cell r="I568">
            <v>-86462</v>
          </cell>
          <cell r="J568">
            <v>-96597</v>
          </cell>
          <cell r="K568">
            <v>-102323.20477585042</v>
          </cell>
          <cell r="L568">
            <v>-129247</v>
          </cell>
          <cell r="M568">
            <v>-148866.65032270548</v>
          </cell>
          <cell r="N568">
            <v>-172055.89748442388</v>
          </cell>
          <cell r="O568">
            <v>-263276.89217883983</v>
          </cell>
          <cell r="P568">
            <v>-635226.31423213577</v>
          </cell>
          <cell r="Q568">
            <v>-636384.75251178828</v>
          </cell>
          <cell r="R568">
            <v>-636390.07416903833</v>
          </cell>
          <cell r="S568">
            <v>-636390.07416903833</v>
          </cell>
          <cell r="T568">
            <v>-636390.07416903833</v>
          </cell>
          <cell r="U568">
            <v>-636390.07416903833</v>
          </cell>
          <cell r="V568">
            <v>-636390.07416903833</v>
          </cell>
          <cell r="W568">
            <v>-636390.07416903833</v>
          </cell>
          <cell r="X568">
            <v>-518126.89709135692</v>
          </cell>
          <cell r="Y568">
            <v>-518121.39354730735</v>
          </cell>
          <cell r="Z568">
            <v>-518121.39354730735</v>
          </cell>
          <cell r="AA568">
            <v>-518121.39354730735</v>
          </cell>
          <cell r="AB568">
            <v>-518121.39354730735</v>
          </cell>
          <cell r="AC568">
            <v>-518121.39354730735</v>
          </cell>
          <cell r="AD568">
            <v>-518121.39354730735</v>
          </cell>
          <cell r="AE568">
            <v>-518121.39354730735</v>
          </cell>
          <cell r="AF568">
            <v>-518121.39354730735</v>
          </cell>
          <cell r="AG568">
            <v>-518121.39354730735</v>
          </cell>
          <cell r="AH568">
            <v>-518121.39354730747</v>
          </cell>
          <cell r="AI568">
            <v>-518121.39354730735</v>
          </cell>
          <cell r="AJ568">
            <v>-622127.53479488392</v>
          </cell>
          <cell r="AK568">
            <v>-623927.19734405074</v>
          </cell>
          <cell r="AL568">
            <v>-623927.19734405098</v>
          </cell>
          <cell r="AM568">
            <v>-623927.19734405098</v>
          </cell>
          <cell r="AN568">
            <v>-623927.19734405098</v>
          </cell>
          <cell r="AO568">
            <v>-623927.19734405086</v>
          </cell>
          <cell r="AP568">
            <v>-473288.14149319945</v>
          </cell>
          <cell r="AQ568">
            <v>0</v>
          </cell>
          <cell r="AR568">
            <v>0</v>
          </cell>
          <cell r="AS568">
            <v>0</v>
          </cell>
          <cell r="AT568">
            <v>0</v>
          </cell>
        </row>
        <row r="569">
          <cell r="E569" t="str">
            <v>Fixed costs</v>
          </cell>
          <cell r="F569" t="str">
            <v>[R$ '000]</v>
          </cell>
          <cell r="I569">
            <v>-43326</v>
          </cell>
          <cell r="J569">
            <v>-37415</v>
          </cell>
          <cell r="K569">
            <v>-38757.79522414958</v>
          </cell>
          <cell r="L569">
            <v>-27528</v>
          </cell>
          <cell r="M569">
            <v>-24930.780439999995</v>
          </cell>
          <cell r="N569">
            <v>-24930.780439999995</v>
          </cell>
          <cell r="O569">
            <v>-24930.780439999995</v>
          </cell>
          <cell r="P569">
            <v>-24930.780439999995</v>
          </cell>
          <cell r="Q569">
            <v>-24930.780439999995</v>
          </cell>
          <cell r="R569">
            <v>-24930.780439999995</v>
          </cell>
          <cell r="S569">
            <v>-24930.780439999995</v>
          </cell>
          <cell r="T569">
            <v>-24930.780439999995</v>
          </cell>
          <cell r="U569">
            <v>-24930.780439999995</v>
          </cell>
          <cell r="V569">
            <v>-24930.780439999995</v>
          </cell>
          <cell r="W569">
            <v>-24930.780439999995</v>
          </cell>
          <cell r="X569">
            <v>-24930.780439999995</v>
          </cell>
          <cell r="Y569">
            <v>-24930.780439999995</v>
          </cell>
          <cell r="Z569">
            <v>-24930.780439999995</v>
          </cell>
          <cell r="AA569">
            <v>-24930.780439999995</v>
          </cell>
          <cell r="AB569">
            <v>-24930.780439999995</v>
          </cell>
          <cell r="AC569">
            <v>-24930.780439999995</v>
          </cell>
          <cell r="AD569">
            <v>-24930.780439999995</v>
          </cell>
          <cell r="AE569">
            <v>-24930.780439999995</v>
          </cell>
          <cell r="AF569">
            <v>-24930.780439999995</v>
          </cell>
          <cell r="AG569">
            <v>-24930.780439999995</v>
          </cell>
          <cell r="AH569">
            <v>-24930.780439999995</v>
          </cell>
          <cell r="AI569">
            <v>-24930.780439999995</v>
          </cell>
          <cell r="AJ569">
            <v>-24930.780439999995</v>
          </cell>
          <cell r="AK569">
            <v>-24930.780439999995</v>
          </cell>
          <cell r="AL569">
            <v>-24930.780439999995</v>
          </cell>
          <cell r="AM569">
            <v>-24930.780439999995</v>
          </cell>
          <cell r="AN569">
            <v>-24930.780439999995</v>
          </cell>
          <cell r="AO569">
            <v>-24930.780439999995</v>
          </cell>
          <cell r="AP569">
            <v>-24930.780439999995</v>
          </cell>
          <cell r="AQ569">
            <v>0</v>
          </cell>
          <cell r="AR569">
            <v>0</v>
          </cell>
          <cell r="AS569">
            <v>0</v>
          </cell>
          <cell r="AT569">
            <v>0</v>
          </cell>
        </row>
        <row r="571">
          <cell r="E571" t="str">
            <v>Production cost (Ex-Freight cots)</v>
          </cell>
          <cell r="F571" t="str">
            <v>[R$/t]</v>
          </cell>
          <cell r="I571">
            <v>25.527889626906536</v>
          </cell>
          <cell r="J571">
            <v>25.381746795750026</v>
          </cell>
          <cell r="K571">
            <v>26.182084065049708</v>
          </cell>
          <cell r="L571">
            <v>31.175776752239582</v>
          </cell>
          <cell r="M571">
            <v>33.321301985726329</v>
          </cell>
          <cell r="N571">
            <v>31.851079811714087</v>
          </cell>
          <cell r="O571">
            <v>31.851079811714079</v>
          </cell>
          <cell r="P571">
            <v>27.693221878490885</v>
          </cell>
          <cell r="Q571">
            <v>27.693221878490878</v>
          </cell>
          <cell r="R571">
            <v>27.691989085968643</v>
          </cell>
          <cell r="S571">
            <v>27.691989085968643</v>
          </cell>
          <cell r="T571">
            <v>27.691989085968643</v>
          </cell>
          <cell r="U571">
            <v>27.691989085968643</v>
          </cell>
          <cell r="V571">
            <v>27.691989085968643</v>
          </cell>
          <cell r="W571">
            <v>27.691989085968643</v>
          </cell>
          <cell r="X571">
            <v>21.102478022907416</v>
          </cell>
          <cell r="Y571">
            <v>21.103611528539414</v>
          </cell>
          <cell r="Z571">
            <v>21.103611528539414</v>
          </cell>
          <cell r="AA571">
            <v>21.103611528539414</v>
          </cell>
          <cell r="AB571">
            <v>21.103611528539414</v>
          </cell>
          <cell r="AC571">
            <v>21.103611528539414</v>
          </cell>
          <cell r="AD571">
            <v>21.103611528539414</v>
          </cell>
          <cell r="AE571">
            <v>21.103611528539414</v>
          </cell>
          <cell r="AF571">
            <v>21.103611528539414</v>
          </cell>
          <cell r="AG571">
            <v>21.103611528539414</v>
          </cell>
          <cell r="AH571">
            <v>21.103611528539428</v>
          </cell>
          <cell r="AI571">
            <v>21.103611528539414</v>
          </cell>
          <cell r="AJ571">
            <v>23.256616242676404</v>
          </cell>
          <cell r="AK571">
            <v>25.323631235865054</v>
          </cell>
          <cell r="AL571">
            <v>25.323631235865044</v>
          </cell>
          <cell r="AM571">
            <v>25.323631235865044</v>
          </cell>
          <cell r="AN571">
            <v>25.323631235865051</v>
          </cell>
          <cell r="AO571">
            <v>25.323631235865047</v>
          </cell>
          <cell r="AP571">
            <v>29.254722939632472</v>
          </cell>
          <cell r="AQ571" t="str">
            <v>n.a.</v>
          </cell>
          <cell r="AR571" t="str">
            <v>n.a.</v>
          </cell>
          <cell r="AS571" t="str">
            <v>n.a.</v>
          </cell>
          <cell r="AT571" t="str">
            <v>n.a.</v>
          </cell>
        </row>
        <row r="572">
          <cell r="E572" t="str">
            <v>Production cost (Ex-Freight cots)</v>
          </cell>
          <cell r="F572" t="str">
            <v>[US$/t]</v>
          </cell>
          <cell r="I572">
            <v>11.81569122539528</v>
          </cell>
          <cell r="J572">
            <v>10.775370920241427</v>
          </cell>
          <cell r="K572">
            <v>7.7233286327580259</v>
          </cell>
          <cell r="L572">
            <v>9.0661482094654815</v>
          </cell>
          <cell r="M572">
            <v>10.48755294736328</v>
          </cell>
          <cell r="N572">
            <v>9.8279429666782416</v>
          </cell>
          <cell r="O572">
            <v>9.8236549598391729</v>
          </cell>
          <cell r="P572">
            <v>8.5870545980285815</v>
          </cell>
          <cell r="Q572">
            <v>8.5569794339545044</v>
          </cell>
          <cell r="R572">
            <v>8.5565985111313907</v>
          </cell>
          <cell r="S572">
            <v>8.5565985111313925</v>
          </cell>
          <cell r="T572">
            <v>8.5565985111313925</v>
          </cell>
          <cell r="U572">
            <v>8.5565985111313907</v>
          </cell>
          <cell r="V572">
            <v>8.5565985111313907</v>
          </cell>
          <cell r="W572">
            <v>8.5565985111313907</v>
          </cell>
          <cell r="X572">
            <v>6.5204933987022216</v>
          </cell>
          <cell r="Y572">
            <v>6.5208436426869723</v>
          </cell>
          <cell r="Z572">
            <v>6.5208436426869723</v>
          </cell>
          <cell r="AA572">
            <v>6.5208436426869723</v>
          </cell>
          <cell r="AB572">
            <v>6.5208436426869723</v>
          </cell>
          <cell r="AC572">
            <v>6.5208436426869723</v>
          </cell>
          <cell r="AD572">
            <v>6.5208436426869723</v>
          </cell>
          <cell r="AE572">
            <v>6.5208436426869723</v>
          </cell>
          <cell r="AF572">
            <v>6.5208436426869731</v>
          </cell>
          <cell r="AG572">
            <v>6.5208436426869723</v>
          </cell>
          <cell r="AH572">
            <v>6.5208436426869767</v>
          </cell>
          <cell r="AI572">
            <v>6.5208436426869723</v>
          </cell>
          <cell r="AJ572">
            <v>7.1861045191899882</v>
          </cell>
          <cell r="AK572">
            <v>7.8247952740612572</v>
          </cell>
          <cell r="AL572">
            <v>7.8247952740612545</v>
          </cell>
          <cell r="AM572">
            <v>7.8247952740612545</v>
          </cell>
          <cell r="AN572">
            <v>7.8247952740612572</v>
          </cell>
          <cell r="AO572">
            <v>7.8247952740612563</v>
          </cell>
          <cell r="AP572">
            <v>9.0394705115515421</v>
          </cell>
          <cell r="AQ572" t="str">
            <v>n.a.</v>
          </cell>
          <cell r="AR572" t="str">
            <v>n.a.</v>
          </cell>
          <cell r="AS572" t="str">
            <v>n.a.</v>
          </cell>
          <cell r="AT572" t="str">
            <v>n.a.</v>
          </cell>
        </row>
        <row r="574">
          <cell r="E574" t="str">
            <v>Cost structure from 2016 onwards</v>
          </cell>
        </row>
        <row r="576">
          <cell r="E576" t="str">
            <v>Varialbe Costs</v>
          </cell>
          <cell r="F576" t="str">
            <v>[R$ '000]</v>
          </cell>
          <cell r="L576">
            <v>-129247</v>
          </cell>
          <cell r="M576">
            <v>-148866.65032270548</v>
          </cell>
          <cell r="N576">
            <v>-172055.89748442388</v>
          </cell>
          <cell r="O576">
            <v>-263276.89217883983</v>
          </cell>
          <cell r="P576">
            <v>-635226.31423213577</v>
          </cell>
          <cell r="Q576">
            <v>-636384.75251178828</v>
          </cell>
          <cell r="R576">
            <v>-636390.07416903833</v>
          </cell>
          <cell r="S576">
            <v>-636390.07416903833</v>
          </cell>
          <cell r="T576">
            <v>-636390.07416903833</v>
          </cell>
          <cell r="U576">
            <v>-636390.07416903833</v>
          </cell>
          <cell r="V576">
            <v>-636390.07416903833</v>
          </cell>
          <cell r="W576">
            <v>-636390.07416903833</v>
          </cell>
          <cell r="X576">
            <v>-518126.89709135692</v>
          </cell>
          <cell r="Y576">
            <v>-518121.39354730735</v>
          </cell>
          <cell r="Z576">
            <v>-518121.39354730735</v>
          </cell>
          <cell r="AA576">
            <v>-518121.39354730735</v>
          </cell>
          <cell r="AB576">
            <v>-518121.39354730735</v>
          </cell>
          <cell r="AC576">
            <v>-518121.39354730735</v>
          </cell>
          <cell r="AD576">
            <v>-518121.39354730735</v>
          </cell>
          <cell r="AE576">
            <v>-518121.39354730735</v>
          </cell>
          <cell r="AF576">
            <v>-518121.39354730735</v>
          </cell>
          <cell r="AG576">
            <v>-518121.39354730735</v>
          </cell>
          <cell r="AH576">
            <v>-518121.39354730747</v>
          </cell>
          <cell r="AI576">
            <v>-518121.39354730735</v>
          </cell>
          <cell r="AJ576">
            <v>-622127.53479488392</v>
          </cell>
          <cell r="AK576">
            <v>-623927.19734405074</v>
          </cell>
          <cell r="AL576">
            <v>-623927.19734405098</v>
          </cell>
          <cell r="AM576">
            <v>-623927.19734405098</v>
          </cell>
          <cell r="AN576">
            <v>-623927.19734405098</v>
          </cell>
          <cell r="AO576">
            <v>-623927.19734405086</v>
          </cell>
          <cell r="AP576">
            <v>-473288.14149319945</v>
          </cell>
          <cell r="AQ576">
            <v>0</v>
          </cell>
          <cell r="AR576">
            <v>0</v>
          </cell>
          <cell r="AS576">
            <v>0</v>
          </cell>
          <cell r="AT576">
            <v>0</v>
          </cell>
        </row>
        <row r="578">
          <cell r="A578" t="str">
            <v>x</v>
          </cell>
          <cell r="E578" t="str">
            <v>Freight costs</v>
          </cell>
          <cell r="F578" t="str">
            <v>[R$ '000]</v>
          </cell>
          <cell r="L578">
            <v>-32000</v>
          </cell>
          <cell r="M578">
            <v>-33840.580088199997</v>
          </cell>
          <cell r="N578">
            <v>-36334.405009943621</v>
          </cell>
          <cell r="O578">
            <v>-127555.39970435957</v>
          </cell>
          <cell r="P578">
            <v>-380795.82557831105</v>
          </cell>
          <cell r="Q578">
            <v>-381954.26385796361</v>
          </cell>
          <cell r="R578">
            <v>-381959.58551521361</v>
          </cell>
          <cell r="S578">
            <v>-381959.58551521361</v>
          </cell>
          <cell r="T578">
            <v>-381959.58551521361</v>
          </cell>
          <cell r="U578">
            <v>-381959.58551521361</v>
          </cell>
          <cell r="V578">
            <v>-381959.58551521361</v>
          </cell>
          <cell r="W578">
            <v>-381959.58551521361</v>
          </cell>
          <cell r="X578">
            <v>-360588.02095010551</v>
          </cell>
          <cell r="Y578">
            <v>-360582.51740605594</v>
          </cell>
          <cell r="Z578">
            <v>-360582.51740605594</v>
          </cell>
          <cell r="AA578">
            <v>-360582.51740605594</v>
          </cell>
          <cell r="AB578">
            <v>-360582.51740605594</v>
          </cell>
          <cell r="AC578">
            <v>-360582.51740605594</v>
          </cell>
          <cell r="AD578">
            <v>-360582.51740605594</v>
          </cell>
          <cell r="AE578">
            <v>-360582.51740605594</v>
          </cell>
          <cell r="AF578">
            <v>-360582.51740605594</v>
          </cell>
          <cell r="AG578">
            <v>-360582.51740605594</v>
          </cell>
          <cell r="AH578">
            <v>-360582.51740605594</v>
          </cell>
          <cell r="AI578">
            <v>-360582.51740605594</v>
          </cell>
          <cell r="AJ578">
            <v>-464588.65865363256</v>
          </cell>
          <cell r="AK578">
            <v>-466388.32120279933</v>
          </cell>
          <cell r="AL578">
            <v>-466388.32120279956</v>
          </cell>
          <cell r="AM578">
            <v>-466388.32120279956</v>
          </cell>
          <cell r="AN578">
            <v>-466388.3212027995</v>
          </cell>
          <cell r="AO578">
            <v>-466388.32120279945</v>
          </cell>
          <cell r="AP578">
            <v>-343132.2356480392</v>
          </cell>
          <cell r="AQ578">
            <v>0</v>
          </cell>
          <cell r="AR578">
            <v>0</v>
          </cell>
          <cell r="AS578">
            <v>0</v>
          </cell>
          <cell r="AT578">
            <v>0</v>
          </cell>
        </row>
        <row r="580">
          <cell r="E580" t="str">
            <v>Client C</v>
          </cell>
          <cell r="F580" t="str">
            <v>[R$/t]</v>
          </cell>
          <cell r="M580">
            <v>-21124.9</v>
          </cell>
          <cell r="N580">
            <v>-26281.461481580995</v>
          </cell>
          <cell r="O580">
            <v>-26281.461481580995</v>
          </cell>
          <cell r="P580">
            <v>-26281.461481580995</v>
          </cell>
          <cell r="Q580">
            <v>-26281.461481580995</v>
          </cell>
          <cell r="R580">
            <v>-26281.461481580995</v>
          </cell>
          <cell r="S580">
            <v>-26281.461481580995</v>
          </cell>
          <cell r="T580">
            <v>-26281.461481580995</v>
          </cell>
          <cell r="U580">
            <v>-26281.461481580995</v>
          </cell>
          <cell r="V580">
            <v>-26281.461481580995</v>
          </cell>
          <cell r="W580">
            <v>-26281.461481580995</v>
          </cell>
          <cell r="X580">
            <v>-26281.461481580995</v>
          </cell>
          <cell r="Y580">
            <v>-26281.461481580995</v>
          </cell>
          <cell r="Z580">
            <v>-26281.461481580995</v>
          </cell>
          <cell r="AA580">
            <v>-26281.461481580995</v>
          </cell>
          <cell r="AB580">
            <v>-26281.461481580995</v>
          </cell>
          <cell r="AC580">
            <v>-26281.461481580995</v>
          </cell>
          <cell r="AD580">
            <v>-26281.461481580995</v>
          </cell>
          <cell r="AE580">
            <v>-26281.461481580995</v>
          </cell>
          <cell r="AF580">
            <v>-26281.461481580995</v>
          </cell>
          <cell r="AG580">
            <v>-26281.461481580995</v>
          </cell>
          <cell r="AH580">
            <v>-26281.461481580995</v>
          </cell>
          <cell r="AI580">
            <v>-26281.461481580995</v>
          </cell>
          <cell r="AJ580">
            <v>0</v>
          </cell>
          <cell r="AK580">
            <v>0</v>
          </cell>
          <cell r="AL580">
            <v>0</v>
          </cell>
          <cell r="AM580">
            <v>0</v>
          </cell>
          <cell r="AN580">
            <v>0</v>
          </cell>
          <cell r="AO580">
            <v>0</v>
          </cell>
          <cell r="AP580">
            <v>0</v>
          </cell>
          <cell r="AQ580">
            <v>0</v>
          </cell>
          <cell r="AR580">
            <v>0</v>
          </cell>
          <cell r="AS580">
            <v>0</v>
          </cell>
          <cell r="AT580">
            <v>0</v>
          </cell>
        </row>
        <row r="582">
          <cell r="E582" t="str">
            <v>Volume</v>
          </cell>
          <cell r="F582" t="str">
            <v>[t'000]</v>
          </cell>
          <cell r="M582">
            <v>1510</v>
          </cell>
          <cell r="N582">
            <v>1878.5890980400998</v>
          </cell>
          <cell r="O582">
            <v>1878.5890980400998</v>
          </cell>
          <cell r="P582">
            <v>1878.5890980400998</v>
          </cell>
          <cell r="Q582">
            <v>1878.5890980400998</v>
          </cell>
          <cell r="R582">
            <v>1878.5890980400998</v>
          </cell>
          <cell r="S582">
            <v>1878.5890980400998</v>
          </cell>
          <cell r="T582">
            <v>1878.5890980400998</v>
          </cell>
          <cell r="U582">
            <v>1878.5890980400998</v>
          </cell>
          <cell r="V582">
            <v>1878.5890980400998</v>
          </cell>
          <cell r="W582">
            <v>1878.5890980400998</v>
          </cell>
          <cell r="X582">
            <v>1878.5890980400998</v>
          </cell>
          <cell r="Y582">
            <v>1878.5890980400998</v>
          </cell>
          <cell r="Z582">
            <v>1878.5890980400998</v>
          </cell>
          <cell r="AA582">
            <v>1878.5890980400998</v>
          </cell>
          <cell r="AB582">
            <v>1878.5890980400998</v>
          </cell>
          <cell r="AC582">
            <v>1878.5890980400998</v>
          </cell>
          <cell r="AD582">
            <v>1878.5890980400998</v>
          </cell>
          <cell r="AE582">
            <v>1878.5890980400998</v>
          </cell>
          <cell r="AF582">
            <v>1878.5890980400998</v>
          </cell>
          <cell r="AG582">
            <v>1878.5890980400998</v>
          </cell>
          <cell r="AH582">
            <v>1878.5890980400998</v>
          </cell>
          <cell r="AI582">
            <v>1878.5890980400998</v>
          </cell>
          <cell r="AJ582">
            <v>0</v>
          </cell>
          <cell r="AK582">
            <v>0</v>
          </cell>
          <cell r="AL582">
            <v>0</v>
          </cell>
          <cell r="AM582">
            <v>0</v>
          </cell>
          <cell r="AN582">
            <v>0</v>
          </cell>
          <cell r="AO582">
            <v>0</v>
          </cell>
          <cell r="AP582">
            <v>0</v>
          </cell>
          <cell r="AQ582">
            <v>0</v>
          </cell>
          <cell r="AR582">
            <v>0</v>
          </cell>
          <cell r="AS582">
            <v>0</v>
          </cell>
          <cell r="AT582">
            <v>0</v>
          </cell>
        </row>
        <row r="584">
          <cell r="E584" t="str">
            <v>Custo unitário</v>
          </cell>
          <cell r="F584" t="str">
            <v>[R$/t]</v>
          </cell>
          <cell r="M584">
            <v>13.99</v>
          </cell>
          <cell r="N584">
            <v>13.99</v>
          </cell>
          <cell r="O584">
            <v>13.99</v>
          </cell>
          <cell r="P584">
            <v>13.99</v>
          </cell>
          <cell r="Q584">
            <v>13.99</v>
          </cell>
          <cell r="R584">
            <v>13.99</v>
          </cell>
          <cell r="S584">
            <v>13.99</v>
          </cell>
          <cell r="T584">
            <v>13.99</v>
          </cell>
          <cell r="U584">
            <v>13.99</v>
          </cell>
          <cell r="V584">
            <v>13.99</v>
          </cell>
          <cell r="W584">
            <v>13.99</v>
          </cell>
          <cell r="X584">
            <v>13.99</v>
          </cell>
          <cell r="Y584">
            <v>13.99</v>
          </cell>
          <cell r="Z584">
            <v>13.99</v>
          </cell>
          <cell r="AA584">
            <v>13.99</v>
          </cell>
          <cell r="AB584">
            <v>13.99</v>
          </cell>
          <cell r="AC584">
            <v>13.99</v>
          </cell>
          <cell r="AD584">
            <v>13.99</v>
          </cell>
          <cell r="AE584">
            <v>13.99</v>
          </cell>
          <cell r="AF584">
            <v>13.99</v>
          </cell>
          <cell r="AG584">
            <v>13.99</v>
          </cell>
          <cell r="AH584">
            <v>13.99</v>
          </cell>
          <cell r="AI584">
            <v>13.99</v>
          </cell>
          <cell r="AJ584">
            <v>13.99</v>
          </cell>
          <cell r="AK584">
            <v>13.99</v>
          </cell>
          <cell r="AL584">
            <v>13.99</v>
          </cell>
          <cell r="AM584">
            <v>13.99</v>
          </cell>
          <cell r="AN584">
            <v>13.99</v>
          </cell>
          <cell r="AO584">
            <v>13.99</v>
          </cell>
          <cell r="AP584">
            <v>13.99</v>
          </cell>
          <cell r="AQ584">
            <v>13.99</v>
          </cell>
          <cell r="AR584">
            <v>13.99</v>
          </cell>
          <cell r="AS584">
            <v>13.99</v>
          </cell>
          <cell r="AT584">
            <v>13.99</v>
          </cell>
        </row>
        <row r="586">
          <cell r="E586" t="str">
            <v>Client B</v>
          </cell>
          <cell r="F586" t="str">
            <v>[R$/t]</v>
          </cell>
          <cell r="M586">
            <v>-12715.680088199993</v>
          </cell>
          <cell r="N586">
            <v>-10052.943528362628</v>
          </cell>
          <cell r="O586">
            <v>-11836.427731111275</v>
          </cell>
          <cell r="P586">
            <v>-24915.745446535726</v>
          </cell>
          <cell r="Q586">
            <v>-24915.745446535726</v>
          </cell>
          <cell r="R586">
            <v>-24921.067103785728</v>
          </cell>
          <cell r="S586">
            <v>-24921.067103785728</v>
          </cell>
          <cell r="T586">
            <v>-24921.067103785728</v>
          </cell>
          <cell r="U586">
            <v>-24921.067103785728</v>
          </cell>
          <cell r="V586">
            <v>-24921.067103785728</v>
          </cell>
          <cell r="W586">
            <v>-24921.067103785728</v>
          </cell>
          <cell r="X586">
            <v>-11839.088559736274</v>
          </cell>
          <cell r="Y586">
            <v>-11833.585015686822</v>
          </cell>
          <cell r="Z586">
            <v>-11833.585015686822</v>
          </cell>
          <cell r="AA586">
            <v>-11833.585015686822</v>
          </cell>
          <cell r="AB586">
            <v>-11833.585015686822</v>
          </cell>
          <cell r="AC586">
            <v>-11833.585015686822</v>
          </cell>
          <cell r="AD586">
            <v>-11833.585015686822</v>
          </cell>
          <cell r="AE586">
            <v>-11833.585015686822</v>
          </cell>
          <cell r="AF586">
            <v>-11833.585015686822</v>
          </cell>
          <cell r="AG586">
            <v>-11833.585015686822</v>
          </cell>
          <cell r="AH586">
            <v>-11833.585015686822</v>
          </cell>
          <cell r="AI586">
            <v>-11833.585015686822</v>
          </cell>
          <cell r="AJ586">
            <v>-7866.609902592807</v>
          </cell>
          <cell r="AK586">
            <v>0</v>
          </cell>
          <cell r="AL586">
            <v>0</v>
          </cell>
          <cell r="AM586">
            <v>0</v>
          </cell>
          <cell r="AN586">
            <v>0</v>
          </cell>
          <cell r="AO586">
            <v>0</v>
          </cell>
          <cell r="AP586">
            <v>0</v>
          </cell>
          <cell r="AQ586">
            <v>0</v>
          </cell>
          <cell r="AR586">
            <v>0</v>
          </cell>
          <cell r="AS586">
            <v>0</v>
          </cell>
          <cell r="AT586">
            <v>0</v>
          </cell>
        </row>
        <row r="588">
          <cell r="E588" t="str">
            <v>Volume</v>
          </cell>
          <cell r="F588" t="str">
            <v>[t'000]</v>
          </cell>
          <cell r="M588">
            <v>1073.0531719999994</v>
          </cell>
          <cell r="N588">
            <v>848.34966484072811</v>
          </cell>
          <cell r="O588">
            <v>998.85466085327221</v>
          </cell>
          <cell r="P588">
            <v>2102.5945524502722</v>
          </cell>
          <cell r="Q588">
            <v>2102.5945524502722</v>
          </cell>
          <cell r="R588">
            <v>2103.0436374502724</v>
          </cell>
          <cell r="S588">
            <v>2103.0436374502724</v>
          </cell>
          <cell r="T588">
            <v>2103.0436374502724</v>
          </cell>
          <cell r="U588">
            <v>2103.0436374502724</v>
          </cell>
          <cell r="V588">
            <v>2103.0436374502724</v>
          </cell>
          <cell r="W588">
            <v>2103.0436374502724</v>
          </cell>
          <cell r="X588">
            <v>999.07920335327208</v>
          </cell>
          <cell r="Y588">
            <v>998.61476925627198</v>
          </cell>
          <cell r="Z588">
            <v>998.61476925627198</v>
          </cell>
          <cell r="AA588">
            <v>998.61476925627198</v>
          </cell>
          <cell r="AB588">
            <v>998.61476925627198</v>
          </cell>
          <cell r="AC588">
            <v>998.61476925627198</v>
          </cell>
          <cell r="AD588">
            <v>998.61476925627198</v>
          </cell>
          <cell r="AE588">
            <v>998.61476925627198</v>
          </cell>
          <cell r="AF588">
            <v>998.61476925627198</v>
          </cell>
          <cell r="AG588">
            <v>998.61476925627198</v>
          </cell>
          <cell r="AH588">
            <v>998.61476925627198</v>
          </cell>
          <cell r="AI588">
            <v>998.61476925627198</v>
          </cell>
          <cell r="AJ588">
            <v>663.84893692766309</v>
          </cell>
          <cell r="AK588">
            <v>0</v>
          </cell>
          <cell r="AL588">
            <v>0</v>
          </cell>
          <cell r="AM588">
            <v>0</v>
          </cell>
          <cell r="AN588">
            <v>0</v>
          </cell>
          <cell r="AO588">
            <v>0</v>
          </cell>
          <cell r="AP588">
            <v>0</v>
          </cell>
          <cell r="AQ588">
            <v>0</v>
          </cell>
          <cell r="AR588">
            <v>0</v>
          </cell>
          <cell r="AS588">
            <v>0</v>
          </cell>
          <cell r="AT588">
            <v>0</v>
          </cell>
        </row>
        <row r="590">
          <cell r="E590" t="str">
            <v>Custo unitário</v>
          </cell>
          <cell r="F590" t="str">
            <v>[R$/t]</v>
          </cell>
          <cell r="M590">
            <v>11.85</v>
          </cell>
          <cell r="N590">
            <v>11.85</v>
          </cell>
          <cell r="O590">
            <v>11.85</v>
          </cell>
          <cell r="P590">
            <v>11.85</v>
          </cell>
          <cell r="Q590">
            <v>11.85</v>
          </cell>
          <cell r="R590">
            <v>11.85</v>
          </cell>
          <cell r="S590">
            <v>11.85</v>
          </cell>
          <cell r="T590">
            <v>11.85</v>
          </cell>
          <cell r="U590">
            <v>11.85</v>
          </cell>
          <cell r="V590">
            <v>11.85</v>
          </cell>
          <cell r="W590">
            <v>11.85</v>
          </cell>
          <cell r="X590">
            <v>11.85</v>
          </cell>
          <cell r="Y590">
            <v>11.85</v>
          </cell>
          <cell r="Z590">
            <v>11.85</v>
          </cell>
          <cell r="AA590">
            <v>11.85</v>
          </cell>
          <cell r="AB590">
            <v>11.85</v>
          </cell>
          <cell r="AC590">
            <v>11.85</v>
          </cell>
          <cell r="AD590">
            <v>11.85</v>
          </cell>
          <cell r="AE590">
            <v>11.85</v>
          </cell>
          <cell r="AF590">
            <v>11.85</v>
          </cell>
          <cell r="AG590">
            <v>11.85</v>
          </cell>
          <cell r="AH590">
            <v>11.85</v>
          </cell>
          <cell r="AI590">
            <v>11.85</v>
          </cell>
          <cell r="AJ590">
            <v>11.85</v>
          </cell>
          <cell r="AK590">
            <v>11.85</v>
          </cell>
          <cell r="AL590">
            <v>11.85</v>
          </cell>
          <cell r="AM590">
            <v>11.85</v>
          </cell>
          <cell r="AN590">
            <v>11.85</v>
          </cell>
          <cell r="AO590">
            <v>11.85</v>
          </cell>
          <cell r="AP590">
            <v>11.85</v>
          </cell>
          <cell r="AQ590">
            <v>11.85</v>
          </cell>
          <cell r="AR590">
            <v>11.85</v>
          </cell>
          <cell r="AS590">
            <v>11.85</v>
          </cell>
          <cell r="AT590">
            <v>11.85</v>
          </cell>
        </row>
        <row r="592">
          <cell r="E592" t="str">
            <v>Export Sales</v>
          </cell>
          <cell r="F592" t="str">
            <v>[R$/t]</v>
          </cell>
          <cell r="M592">
            <v>0</v>
          </cell>
          <cell r="N592">
            <v>0</v>
          </cell>
          <cell r="O592">
            <v>-89437.510491667301</v>
          </cell>
          <cell r="P592">
            <v>-329598.61865019432</v>
          </cell>
          <cell r="Q592">
            <v>-330757.05692984688</v>
          </cell>
          <cell r="R592">
            <v>-330757.05692984688</v>
          </cell>
          <cell r="S592">
            <v>-330757.05692984688</v>
          </cell>
          <cell r="T592">
            <v>-330757.05692984688</v>
          </cell>
          <cell r="U592">
            <v>-330757.05692984688</v>
          </cell>
          <cell r="V592">
            <v>-330757.05692984688</v>
          </cell>
          <cell r="W592">
            <v>-330757.05692984688</v>
          </cell>
          <cell r="X592">
            <v>-322467.47090878827</v>
          </cell>
          <cell r="Y592">
            <v>-322467.47090878815</v>
          </cell>
          <cell r="Z592">
            <v>-322467.47090878815</v>
          </cell>
          <cell r="AA592">
            <v>-322467.47090878815</v>
          </cell>
          <cell r="AB592">
            <v>-322467.47090878815</v>
          </cell>
          <cell r="AC592">
            <v>-322467.47090878815</v>
          </cell>
          <cell r="AD592">
            <v>-322467.47090878815</v>
          </cell>
          <cell r="AE592">
            <v>-322467.47090878815</v>
          </cell>
          <cell r="AF592">
            <v>-322467.47090878809</v>
          </cell>
          <cell r="AG592">
            <v>-322467.47090878815</v>
          </cell>
          <cell r="AH592">
            <v>-322467.47090878815</v>
          </cell>
          <cell r="AI592">
            <v>-322467.47090878815</v>
          </cell>
          <cell r="AJ592">
            <v>-456722.04875103978</v>
          </cell>
          <cell r="AK592">
            <v>-466388.32120279933</v>
          </cell>
          <cell r="AL592">
            <v>-466388.32120279956</v>
          </cell>
          <cell r="AM592">
            <v>-466388.32120279956</v>
          </cell>
          <cell r="AN592">
            <v>-466388.3212027995</v>
          </cell>
          <cell r="AO592">
            <v>-466388.32120279945</v>
          </cell>
          <cell r="AP592">
            <v>-343132.2356480392</v>
          </cell>
          <cell r="AQ592">
            <v>0</v>
          </cell>
          <cell r="AR592">
            <v>0</v>
          </cell>
          <cell r="AS592">
            <v>0</v>
          </cell>
          <cell r="AT592">
            <v>0</v>
          </cell>
        </row>
        <row r="594">
          <cell r="E594" t="str">
            <v>Volume</v>
          </cell>
          <cell r="F594" t="str">
            <v>[t'000]</v>
          </cell>
          <cell r="M594">
            <v>0</v>
          </cell>
          <cell r="N594">
            <v>0</v>
          </cell>
          <cell r="O594">
            <v>1379.2361965920002</v>
          </cell>
          <cell r="P594">
            <v>5110.0614912240999</v>
          </cell>
          <cell r="Q594">
            <v>5110.0614912240999</v>
          </cell>
          <cell r="R594">
            <v>5110.0614912240999</v>
          </cell>
          <cell r="S594">
            <v>5110.0614912240999</v>
          </cell>
          <cell r="T594">
            <v>5110.0614912240999</v>
          </cell>
          <cell r="U594">
            <v>5110.0614912240999</v>
          </cell>
          <cell r="V594">
            <v>5110.0614912240999</v>
          </cell>
          <cell r="W594">
            <v>5110.0614912240999</v>
          </cell>
          <cell r="X594">
            <v>4981.990771591999</v>
          </cell>
          <cell r="Y594">
            <v>4981.990771591999</v>
          </cell>
          <cell r="Z594">
            <v>4981.990771591999</v>
          </cell>
          <cell r="AA594">
            <v>4981.990771591999</v>
          </cell>
          <cell r="AB594">
            <v>4981.990771591999</v>
          </cell>
          <cell r="AC594">
            <v>4981.990771591999</v>
          </cell>
          <cell r="AD594">
            <v>4981.990771591999</v>
          </cell>
          <cell r="AE594">
            <v>4981.990771591999</v>
          </cell>
          <cell r="AF594">
            <v>4981.990771591999</v>
          </cell>
          <cell r="AG594">
            <v>4981.990771591999</v>
          </cell>
          <cell r="AH594">
            <v>4981.990771591999</v>
          </cell>
          <cell r="AI594">
            <v>4981.990771591999</v>
          </cell>
          <cell r="AJ594">
            <v>7056.169187073996</v>
          </cell>
          <cell r="AK594">
            <v>7205.509149999998</v>
          </cell>
          <cell r="AL594">
            <v>7205.5091500000017</v>
          </cell>
          <cell r="AM594">
            <v>7205.5091500000017</v>
          </cell>
          <cell r="AN594">
            <v>7205.5091500000017</v>
          </cell>
          <cell r="AO594">
            <v>7205.5091500000008</v>
          </cell>
          <cell r="AP594">
            <v>5301.2529500000319</v>
          </cell>
          <cell r="AQ594">
            <v>0</v>
          </cell>
          <cell r="AR594">
            <v>0</v>
          </cell>
          <cell r="AS594">
            <v>0</v>
          </cell>
          <cell r="AT594">
            <v>0</v>
          </cell>
        </row>
        <row r="596">
          <cell r="E596" t="str">
            <v>Custo unitário</v>
          </cell>
          <cell r="F596" t="str">
            <v>[R$/t]</v>
          </cell>
          <cell r="M596">
            <v>73.076145552560646</v>
          </cell>
          <cell r="N596">
            <v>64.817388378637432</v>
          </cell>
          <cell r="O596">
            <v>64.845681046264133</v>
          </cell>
          <cell r="P596">
            <v>64.499931990297824</v>
          </cell>
          <cell r="Q596">
            <v>64.726629512752694</v>
          </cell>
          <cell r="R596">
            <v>64.726629512752694</v>
          </cell>
          <cell r="S596">
            <v>64.726629512752694</v>
          </cell>
          <cell r="T596">
            <v>64.726629512752694</v>
          </cell>
          <cell r="U596">
            <v>64.726629512752694</v>
          </cell>
          <cell r="V596">
            <v>64.726629512752694</v>
          </cell>
          <cell r="W596">
            <v>64.726629512752694</v>
          </cell>
          <cell r="X596">
            <v>64.726629512752694</v>
          </cell>
          <cell r="Y596">
            <v>64.72662951275268</v>
          </cell>
          <cell r="Z596">
            <v>64.72662951275268</v>
          </cell>
          <cell r="AA596">
            <v>64.72662951275268</v>
          </cell>
          <cell r="AB596">
            <v>64.72662951275268</v>
          </cell>
          <cell r="AC596">
            <v>64.72662951275268</v>
          </cell>
          <cell r="AD596">
            <v>64.72662951275268</v>
          </cell>
          <cell r="AE596">
            <v>64.72662951275268</v>
          </cell>
          <cell r="AF596">
            <v>64.726629512752666</v>
          </cell>
          <cell r="AG596">
            <v>64.72662951275268</v>
          </cell>
          <cell r="AH596">
            <v>64.72662951275268</v>
          </cell>
          <cell r="AI596">
            <v>64.72662951275268</v>
          </cell>
          <cell r="AJ596">
            <v>64.72662951275268</v>
          </cell>
          <cell r="AK596">
            <v>64.72662951275268</v>
          </cell>
          <cell r="AL596">
            <v>64.72662951275268</v>
          </cell>
          <cell r="AM596">
            <v>64.72662951275268</v>
          </cell>
          <cell r="AN596">
            <v>64.726629512752666</v>
          </cell>
          <cell r="AO596">
            <v>64.726629512752666</v>
          </cell>
          <cell r="AP596">
            <v>64.726629512752666</v>
          </cell>
          <cell r="AQ596">
            <v>64.726629512752666</v>
          </cell>
          <cell r="AR596">
            <v>64.726629512752666</v>
          </cell>
          <cell r="AS596">
            <v>64.726629512752652</v>
          </cell>
          <cell r="AT596">
            <v>64.726629512752666</v>
          </cell>
        </row>
        <row r="599">
          <cell r="A599" t="str">
            <v>x</v>
          </cell>
          <cell r="E599" t="str">
            <v>Direct Production Costs</v>
          </cell>
          <cell r="F599" t="str">
            <v>[R$ '000]</v>
          </cell>
          <cell r="L599">
            <v>-58880</v>
          </cell>
          <cell r="M599">
            <v>-81662.382681094721</v>
          </cell>
          <cell r="N599">
            <v>-96619.632163354589</v>
          </cell>
          <cell r="O599">
            <v>-96619.632163354589</v>
          </cell>
          <cell r="P599">
            <v>-176226.76803157342</v>
          </cell>
          <cell r="Q599">
            <v>-176226.76803157342</v>
          </cell>
          <cell r="R599">
            <v>-176226.76803157342</v>
          </cell>
          <cell r="S599">
            <v>-176226.76803157342</v>
          </cell>
          <cell r="T599">
            <v>-176226.76803157342</v>
          </cell>
          <cell r="U599">
            <v>-176226.76803157342</v>
          </cell>
          <cell r="V599">
            <v>-176226.76803157342</v>
          </cell>
          <cell r="W599">
            <v>-176226.76803157342</v>
          </cell>
          <cell r="X599">
            <v>-109116.51008725027</v>
          </cell>
          <cell r="Y599">
            <v>-109116.51008725027</v>
          </cell>
          <cell r="Z599">
            <v>-109116.51008725027</v>
          </cell>
          <cell r="AA599">
            <v>-109116.51008725027</v>
          </cell>
          <cell r="AB599">
            <v>-109116.51008725027</v>
          </cell>
          <cell r="AC599">
            <v>-109116.51008725027</v>
          </cell>
          <cell r="AD599">
            <v>-109116.51008725027</v>
          </cell>
          <cell r="AE599">
            <v>-109116.51008725027</v>
          </cell>
          <cell r="AF599">
            <v>-109116.51008725027</v>
          </cell>
          <cell r="AG599">
            <v>-109116.51008725027</v>
          </cell>
          <cell r="AH599">
            <v>-109116.51008725034</v>
          </cell>
          <cell r="AI599">
            <v>-109116.51008725027</v>
          </cell>
          <cell r="AJ599">
            <v>-109116.51008725027</v>
          </cell>
          <cell r="AK599">
            <v>-109116.51008725027</v>
          </cell>
          <cell r="AL599">
            <v>-109116.5100872503</v>
          </cell>
          <cell r="AM599">
            <v>-109116.5100872503</v>
          </cell>
          <cell r="AN599">
            <v>-109116.5100872503</v>
          </cell>
          <cell r="AO599">
            <v>-109116.5100872503</v>
          </cell>
          <cell r="AP599">
            <v>-90150.181091394756</v>
          </cell>
          <cell r="AQ599">
            <v>0</v>
          </cell>
          <cell r="AR599">
            <v>0</v>
          </cell>
          <cell r="AS599">
            <v>0</v>
          </cell>
          <cell r="AT599">
            <v>0</v>
          </cell>
        </row>
        <row r="600">
          <cell r="E600" t="str">
            <v>Growtth</v>
          </cell>
          <cell r="F600" t="str">
            <v>[%]</v>
          </cell>
          <cell r="L600" t="str">
            <v>n.a.</v>
          </cell>
          <cell r="M600">
            <v>0.38692905368707065</v>
          </cell>
          <cell r="N600">
            <v>0.18315960165735579</v>
          </cell>
          <cell r="O600">
            <v>0</v>
          </cell>
          <cell r="P600">
            <v>0.82392298631014471</v>
          </cell>
          <cell r="Q600">
            <v>0</v>
          </cell>
          <cell r="R600">
            <v>0</v>
          </cell>
          <cell r="S600">
            <v>0</v>
          </cell>
          <cell r="T600">
            <v>0</v>
          </cell>
          <cell r="U600">
            <v>0</v>
          </cell>
          <cell r="V600">
            <v>0</v>
          </cell>
          <cell r="W600">
            <v>0</v>
          </cell>
          <cell r="X600">
            <v>-0.38081761751596921</v>
          </cell>
          <cell r="Y600">
            <v>0</v>
          </cell>
          <cell r="Z600">
            <v>0</v>
          </cell>
          <cell r="AA600">
            <v>0</v>
          </cell>
          <cell r="AB600">
            <v>0</v>
          </cell>
          <cell r="AC600">
            <v>0</v>
          </cell>
          <cell r="AD600">
            <v>0</v>
          </cell>
          <cell r="AE600">
            <v>0</v>
          </cell>
          <cell r="AF600">
            <v>0</v>
          </cell>
          <cell r="AG600">
            <v>0</v>
          </cell>
          <cell r="AH600">
            <v>6.6613381477509392E-16</v>
          </cell>
          <cell r="AI600">
            <v>-6.6613381477509392E-16</v>
          </cell>
          <cell r="AJ600">
            <v>0</v>
          </cell>
          <cell r="AK600">
            <v>0</v>
          </cell>
          <cell r="AL600">
            <v>2.2204460492503131E-16</v>
          </cell>
          <cell r="AM600">
            <v>0</v>
          </cell>
          <cell r="AN600">
            <v>0</v>
          </cell>
          <cell r="AO600">
            <v>0</v>
          </cell>
          <cell r="AP600">
            <v>-0.17381722509902431</v>
          </cell>
          <cell r="AQ600">
            <v>-1</v>
          </cell>
          <cell r="AR600" t="str">
            <v>n.a.</v>
          </cell>
          <cell r="AS600" t="str">
            <v>n.a.</v>
          </cell>
          <cell r="AT600" t="str">
            <v>n.a.</v>
          </cell>
        </row>
        <row r="602">
          <cell r="E602" t="str">
            <v>Unitary cost</v>
          </cell>
          <cell r="F602" t="str">
            <v>[R$/ton]</v>
          </cell>
          <cell r="L602">
            <v>5.3607131563565513</v>
          </cell>
          <cell r="M602">
            <v>5.2685408181351434</v>
          </cell>
          <cell r="N602">
            <v>4.9438220854699777</v>
          </cell>
          <cell r="O602">
            <v>4.9438220854699777</v>
          </cell>
          <cell r="P602">
            <v>4.9799835221373661</v>
          </cell>
          <cell r="Q602">
            <v>4.9799835221373661</v>
          </cell>
          <cell r="R602">
            <v>4.9799835221373661</v>
          </cell>
          <cell r="S602">
            <v>4.9799835221373661</v>
          </cell>
          <cell r="T602">
            <v>4.9799835221373661</v>
          </cell>
          <cell r="U602">
            <v>4.9799835221373661</v>
          </cell>
          <cell r="V602">
            <v>4.9799835221373661</v>
          </cell>
          <cell r="W602">
            <v>4.9799835221373661</v>
          </cell>
          <cell r="X602">
            <v>4.9799835221373661</v>
          </cell>
          <cell r="Y602">
            <v>4.9799835221373661</v>
          </cell>
          <cell r="Z602">
            <v>4.9799835221373661</v>
          </cell>
          <cell r="AA602">
            <v>4.9799835221373661</v>
          </cell>
          <cell r="AB602">
            <v>4.9799835221373661</v>
          </cell>
          <cell r="AC602">
            <v>4.9799835221373661</v>
          </cell>
          <cell r="AD602">
            <v>4.9799835221373661</v>
          </cell>
          <cell r="AE602">
            <v>4.9799835221373661</v>
          </cell>
          <cell r="AF602">
            <v>4.9799835221373661</v>
          </cell>
          <cell r="AG602">
            <v>4.9799835221373661</v>
          </cell>
          <cell r="AH602">
            <v>4.9799835221373661</v>
          </cell>
          <cell r="AI602">
            <v>4.9799835221373661</v>
          </cell>
          <cell r="AJ602">
            <v>4.9799835221373661</v>
          </cell>
          <cell r="AK602">
            <v>4.9799835221373661</v>
          </cell>
          <cell r="AL602">
            <v>4.9799835221373661</v>
          </cell>
          <cell r="AM602">
            <v>4.9799835221373661</v>
          </cell>
          <cell r="AN602">
            <v>4.9799835221373661</v>
          </cell>
          <cell r="AO602">
            <v>4.9799835221373661</v>
          </cell>
          <cell r="AP602">
            <v>4.9799835221373661</v>
          </cell>
          <cell r="AQ602">
            <v>4.9799835221373661</v>
          </cell>
          <cell r="AR602">
            <v>4.9799835221373661</v>
          </cell>
          <cell r="AS602">
            <v>4.9799835221373661</v>
          </cell>
          <cell r="AT602">
            <v>4.9799835221373661</v>
          </cell>
        </row>
        <row r="604">
          <cell r="E604" t="str">
            <v>Movimentação</v>
          </cell>
          <cell r="L604">
            <v>10983.613239999999</v>
          </cell>
          <cell r="M604">
            <v>15500</v>
          </cell>
          <cell r="N604">
            <v>19543.509149999998</v>
          </cell>
          <cell r="O604">
            <v>19543.509149999998</v>
          </cell>
          <cell r="P604">
            <v>35387.018299999996</v>
          </cell>
          <cell r="Q604">
            <v>35387.018299999996</v>
          </cell>
          <cell r="R604">
            <v>35387.018299999996</v>
          </cell>
          <cell r="S604">
            <v>35387.018299999996</v>
          </cell>
          <cell r="T604">
            <v>35387.018299999996</v>
          </cell>
          <cell r="U604">
            <v>35387.018299999996</v>
          </cell>
          <cell r="V604">
            <v>35387.018299999996</v>
          </cell>
          <cell r="W604">
            <v>35387.018299999996</v>
          </cell>
          <cell r="X604">
            <v>21911.018299999996</v>
          </cell>
          <cell r="Y604">
            <v>21911.018299999996</v>
          </cell>
          <cell r="Z604">
            <v>21911.018299999996</v>
          </cell>
          <cell r="AA604">
            <v>21911.018299999996</v>
          </cell>
          <cell r="AB604">
            <v>21911.018299999996</v>
          </cell>
          <cell r="AC604">
            <v>21911.018299999996</v>
          </cell>
          <cell r="AD604">
            <v>21911.018299999996</v>
          </cell>
          <cell r="AE604">
            <v>21911.018299999996</v>
          </cell>
          <cell r="AF604">
            <v>21911.018299999996</v>
          </cell>
          <cell r="AG604">
            <v>21911.018299999996</v>
          </cell>
          <cell r="AH604">
            <v>21911.018300000011</v>
          </cell>
          <cell r="AI604">
            <v>21911.018299999996</v>
          </cell>
          <cell r="AJ604">
            <v>21911.018299999996</v>
          </cell>
          <cell r="AK604">
            <v>21911.018299999996</v>
          </cell>
          <cell r="AL604">
            <v>21911.018300000003</v>
          </cell>
          <cell r="AM604">
            <v>21911.018300000003</v>
          </cell>
          <cell r="AN604">
            <v>21911.018300000003</v>
          </cell>
          <cell r="AO604">
            <v>21911.018300000003</v>
          </cell>
          <cell r="AP604">
            <v>18102.505900000062</v>
          </cell>
          <cell r="AQ604">
            <v>0</v>
          </cell>
          <cell r="AR604">
            <v>0</v>
          </cell>
          <cell r="AS604">
            <v>0</v>
          </cell>
          <cell r="AT604">
            <v>0</v>
          </cell>
        </row>
        <row r="606">
          <cell r="A606" t="str">
            <v>x</v>
          </cell>
          <cell r="E606" t="str">
            <v>Manufacturing Auxillaries</v>
          </cell>
          <cell r="F606" t="str">
            <v>[R$ '000]</v>
          </cell>
          <cell r="L606">
            <v>-2111</v>
          </cell>
          <cell r="M606">
            <v>-2215.5591434407793</v>
          </cell>
          <cell r="N606">
            <v>-2660.564935271113</v>
          </cell>
          <cell r="O606">
            <v>-2660.564935271113</v>
          </cell>
          <cell r="P606">
            <v>-5321.129870542225</v>
          </cell>
          <cell r="Q606">
            <v>-5321.129870542225</v>
          </cell>
          <cell r="R606">
            <v>-5321.129870542225</v>
          </cell>
          <cell r="S606">
            <v>-5321.129870542225</v>
          </cell>
          <cell r="T606">
            <v>-5321.129870542225</v>
          </cell>
          <cell r="U606">
            <v>-5321.129870542225</v>
          </cell>
          <cell r="V606">
            <v>-5321.129870542225</v>
          </cell>
          <cell r="W606">
            <v>-5321.129870542225</v>
          </cell>
          <cell r="X606">
            <v>-3294.7498707492778</v>
          </cell>
          <cell r="Y606">
            <v>-3294.7498707492778</v>
          </cell>
          <cell r="Z606">
            <v>-3294.7498707492778</v>
          </cell>
          <cell r="AA606">
            <v>-3294.7498707492778</v>
          </cell>
          <cell r="AB606">
            <v>-3294.7498707492778</v>
          </cell>
          <cell r="AC606">
            <v>-3294.7498707492778</v>
          </cell>
          <cell r="AD606">
            <v>-3294.7498707492778</v>
          </cell>
          <cell r="AE606">
            <v>-3294.7498707492778</v>
          </cell>
          <cell r="AF606">
            <v>-3294.7498707492778</v>
          </cell>
          <cell r="AG606">
            <v>-3294.7498707492778</v>
          </cell>
          <cell r="AH606">
            <v>-3294.74987074928</v>
          </cell>
          <cell r="AI606">
            <v>-3294.7498707492778</v>
          </cell>
          <cell r="AJ606">
            <v>-3294.7498707492778</v>
          </cell>
          <cell r="AK606">
            <v>-3294.7498707492778</v>
          </cell>
          <cell r="AL606">
            <v>-3294.7498707492787</v>
          </cell>
          <cell r="AM606">
            <v>-3294.7498707492787</v>
          </cell>
          <cell r="AN606">
            <v>-3294.7498707492787</v>
          </cell>
          <cell r="AO606">
            <v>-3294.7498707492787</v>
          </cell>
          <cell r="AP606">
            <v>-2722.0655908202702</v>
          </cell>
          <cell r="AQ606">
            <v>0</v>
          </cell>
          <cell r="AR606">
            <v>0</v>
          </cell>
          <cell r="AS606">
            <v>0</v>
          </cell>
          <cell r="AT606">
            <v>0</v>
          </cell>
        </row>
        <row r="607">
          <cell r="E607" t="str">
            <v>Growtth</v>
          </cell>
          <cell r="F607" t="str">
            <v>[%]</v>
          </cell>
          <cell r="L607" t="str">
            <v>n.a.</v>
          </cell>
          <cell r="M607">
            <v>4.953062218890536E-2</v>
          </cell>
          <cell r="N607">
            <v>0.20085484657350938</v>
          </cell>
          <cell r="O607">
            <v>0</v>
          </cell>
          <cell r="P607">
            <v>0.99999999999999956</v>
          </cell>
          <cell r="Q607">
            <v>0</v>
          </cell>
          <cell r="R607">
            <v>0</v>
          </cell>
          <cell r="S607">
            <v>0</v>
          </cell>
          <cell r="T607">
            <v>0</v>
          </cell>
          <cell r="U607">
            <v>0</v>
          </cell>
          <cell r="V607">
            <v>0</v>
          </cell>
          <cell r="W607">
            <v>0</v>
          </cell>
          <cell r="X607">
            <v>-0.3808176175159691</v>
          </cell>
          <cell r="Y607">
            <v>0</v>
          </cell>
          <cell r="Z607">
            <v>0</v>
          </cell>
          <cell r="AA607">
            <v>0</v>
          </cell>
          <cell r="AB607">
            <v>0</v>
          </cell>
          <cell r="AC607">
            <v>0</v>
          </cell>
          <cell r="AD607">
            <v>0</v>
          </cell>
          <cell r="AE607">
            <v>0</v>
          </cell>
          <cell r="AF607">
            <v>0</v>
          </cell>
          <cell r="AG607">
            <v>0</v>
          </cell>
          <cell r="AH607">
            <v>6.6613381477509392E-16</v>
          </cell>
          <cell r="AI607">
            <v>-6.6613381477509392E-16</v>
          </cell>
          <cell r="AJ607">
            <v>0</v>
          </cell>
          <cell r="AK607">
            <v>0</v>
          </cell>
          <cell r="AL607">
            <v>2.2204460492503131E-16</v>
          </cell>
          <cell r="AM607">
            <v>0</v>
          </cell>
          <cell r="AN607">
            <v>0</v>
          </cell>
          <cell r="AO607">
            <v>0</v>
          </cell>
          <cell r="AP607">
            <v>-0.1738172250990242</v>
          </cell>
          <cell r="AQ607">
            <v>-1</v>
          </cell>
          <cell r="AR607" t="str">
            <v>n.a.</v>
          </cell>
          <cell r="AS607" t="str">
            <v>n.a.</v>
          </cell>
          <cell r="AT607" t="str">
            <v>n.a.</v>
          </cell>
        </row>
        <row r="609">
          <cell r="E609" t="str">
            <v>Unitary cost</v>
          </cell>
          <cell r="F609" t="str">
            <v>[R$/ton]</v>
          </cell>
          <cell r="L609">
            <v>0.19219540545293273</v>
          </cell>
          <cell r="M609">
            <v>0.14293929957682447</v>
          </cell>
          <cell r="N609">
            <v>0.13613547673812271</v>
          </cell>
          <cell r="O609">
            <v>0.13613547673812271</v>
          </cell>
          <cell r="P609">
            <v>0.15036954584394091</v>
          </cell>
          <cell r="Q609">
            <v>0.15036954584394091</v>
          </cell>
          <cell r="R609">
            <v>0.15036954584394091</v>
          </cell>
          <cell r="S609">
            <v>0.15036954584394091</v>
          </cell>
          <cell r="T609">
            <v>0.15036954584394091</v>
          </cell>
          <cell r="U609">
            <v>0.15036954584394091</v>
          </cell>
          <cell r="V609">
            <v>0.15036954584394091</v>
          </cell>
          <cell r="W609">
            <v>0.15036954584394091</v>
          </cell>
          <cell r="X609">
            <v>0.15036954584394091</v>
          </cell>
          <cell r="Y609">
            <v>0.15036954584394091</v>
          </cell>
          <cell r="Z609">
            <v>0.15036954584394091</v>
          </cell>
          <cell r="AA609">
            <v>0.15036954584394091</v>
          </cell>
          <cell r="AB609">
            <v>0.15036954584394091</v>
          </cell>
          <cell r="AC609">
            <v>0.15036954584394091</v>
          </cell>
          <cell r="AD609">
            <v>0.15036954584394091</v>
          </cell>
          <cell r="AE609">
            <v>0.15036954584394091</v>
          </cell>
          <cell r="AF609">
            <v>0.15036954584394091</v>
          </cell>
          <cell r="AG609">
            <v>0.15036954584394091</v>
          </cell>
          <cell r="AH609">
            <v>0.15036954584394091</v>
          </cell>
          <cell r="AI609">
            <v>0.15036954584394091</v>
          </cell>
          <cell r="AJ609">
            <v>0.15036954584394091</v>
          </cell>
          <cell r="AK609">
            <v>0.15036954584394091</v>
          </cell>
          <cell r="AL609">
            <v>0.15036954584394091</v>
          </cell>
          <cell r="AM609">
            <v>0.15036954584394091</v>
          </cell>
          <cell r="AN609">
            <v>0.15036954584394091</v>
          </cell>
          <cell r="AO609">
            <v>0.15036954584394091</v>
          </cell>
          <cell r="AP609">
            <v>0.15036954584394091</v>
          </cell>
          <cell r="AQ609">
            <v>0.15036954584394091</v>
          </cell>
          <cell r="AR609">
            <v>0.15036954584394091</v>
          </cell>
          <cell r="AS609">
            <v>0.15036954584394091</v>
          </cell>
          <cell r="AT609">
            <v>0.15036954584394091</v>
          </cell>
        </row>
        <row r="611">
          <cell r="E611" t="str">
            <v>Movimentação</v>
          </cell>
          <cell r="L611">
            <v>10983.613239999999</v>
          </cell>
          <cell r="M611">
            <v>15500</v>
          </cell>
          <cell r="N611">
            <v>19543.509149999998</v>
          </cell>
          <cell r="O611">
            <v>19543.509149999998</v>
          </cell>
          <cell r="P611">
            <v>35387.018299999996</v>
          </cell>
          <cell r="Q611">
            <v>35387.018299999996</v>
          </cell>
          <cell r="R611">
            <v>35387.018299999996</v>
          </cell>
          <cell r="S611">
            <v>35387.018299999996</v>
          </cell>
          <cell r="T611">
            <v>35387.018299999996</v>
          </cell>
          <cell r="U611">
            <v>35387.018299999996</v>
          </cell>
          <cell r="V611">
            <v>35387.018299999996</v>
          </cell>
          <cell r="W611">
            <v>35387.018299999996</v>
          </cell>
          <cell r="X611">
            <v>21911.018299999996</v>
          </cell>
          <cell r="Y611">
            <v>21911.018299999996</v>
          </cell>
          <cell r="Z611">
            <v>21911.018299999996</v>
          </cell>
          <cell r="AA611">
            <v>21911.018299999996</v>
          </cell>
          <cell r="AB611">
            <v>21911.018299999996</v>
          </cell>
          <cell r="AC611">
            <v>21911.018299999996</v>
          </cell>
          <cell r="AD611">
            <v>21911.018299999996</v>
          </cell>
          <cell r="AE611">
            <v>21911.018299999996</v>
          </cell>
          <cell r="AF611">
            <v>21911.018299999996</v>
          </cell>
          <cell r="AG611">
            <v>21911.018299999996</v>
          </cell>
          <cell r="AH611">
            <v>21911.018300000011</v>
          </cell>
          <cell r="AI611">
            <v>21911.018299999996</v>
          </cell>
          <cell r="AJ611">
            <v>21911.018299999996</v>
          </cell>
          <cell r="AK611">
            <v>21911.018299999996</v>
          </cell>
          <cell r="AL611">
            <v>21911.018300000003</v>
          </cell>
          <cell r="AM611">
            <v>21911.018300000003</v>
          </cell>
          <cell r="AN611">
            <v>21911.018300000003</v>
          </cell>
          <cell r="AO611">
            <v>21911.018300000003</v>
          </cell>
          <cell r="AP611">
            <v>18102.505900000062</v>
          </cell>
          <cell r="AQ611">
            <v>0</v>
          </cell>
          <cell r="AR611">
            <v>0</v>
          </cell>
          <cell r="AS611">
            <v>0</v>
          </cell>
          <cell r="AT611">
            <v>0</v>
          </cell>
        </row>
        <row r="613">
          <cell r="A613" t="str">
            <v>x</v>
          </cell>
          <cell r="E613" t="str">
            <v>Variable Maintenance</v>
          </cell>
          <cell r="F613" t="str">
            <v>[R$ '000]</v>
          </cell>
          <cell r="L613">
            <v>-17404</v>
          </cell>
          <cell r="M613">
            <v>-18266.030948575692</v>
          </cell>
          <cell r="N613">
            <v>-21934.851792258869</v>
          </cell>
          <cell r="O613">
            <v>-21934.851792258869</v>
          </cell>
          <cell r="P613">
            <v>-43869.703584517723</v>
          </cell>
          <cell r="Q613">
            <v>-43869.703584517723</v>
          </cell>
          <cell r="R613">
            <v>-43869.703584517723</v>
          </cell>
          <cell r="S613">
            <v>-43869.703584517723</v>
          </cell>
          <cell r="T613">
            <v>-43869.703584517723</v>
          </cell>
          <cell r="U613">
            <v>-43869.703584517723</v>
          </cell>
          <cell r="V613">
            <v>-43869.703584517723</v>
          </cell>
          <cell r="W613">
            <v>-43869.703584517723</v>
          </cell>
          <cell r="X613">
            <v>-27163.347584329913</v>
          </cell>
          <cell r="Y613">
            <v>-27163.347584329913</v>
          </cell>
          <cell r="Z613">
            <v>-27163.347584329913</v>
          </cell>
          <cell r="AA613">
            <v>-27163.347584329913</v>
          </cell>
          <cell r="AB613">
            <v>-27163.347584329913</v>
          </cell>
          <cell r="AC613">
            <v>-27163.347584329913</v>
          </cell>
          <cell r="AD613">
            <v>-27163.347584329913</v>
          </cell>
          <cell r="AE613">
            <v>-27163.347584329913</v>
          </cell>
          <cell r="AF613">
            <v>-27163.347584329913</v>
          </cell>
          <cell r="AG613">
            <v>-27163.347584329913</v>
          </cell>
          <cell r="AH613">
            <v>-27163.347584329931</v>
          </cell>
          <cell r="AI613">
            <v>-27163.347584329913</v>
          </cell>
          <cell r="AJ613">
            <v>-27163.347584329913</v>
          </cell>
          <cell r="AK613">
            <v>-27163.347584329913</v>
          </cell>
          <cell r="AL613">
            <v>-27163.347584329924</v>
          </cell>
          <cell r="AM613">
            <v>-27163.347584329924</v>
          </cell>
          <cell r="AN613">
            <v>-27163.347584329924</v>
          </cell>
          <cell r="AO613">
            <v>-27163.347584329924</v>
          </cell>
          <cell r="AP613">
            <v>-22441.889882821411</v>
          </cell>
          <cell r="AQ613">
            <v>0</v>
          </cell>
          <cell r="AR613">
            <v>0</v>
          </cell>
          <cell r="AS613">
            <v>0</v>
          </cell>
          <cell r="AT613">
            <v>0</v>
          </cell>
        </row>
        <row r="614">
          <cell r="E614" t="str">
            <v>Growtth</v>
          </cell>
          <cell r="F614" t="str">
            <v>[%]</v>
          </cell>
          <cell r="L614" t="str">
            <v>n.a.</v>
          </cell>
          <cell r="M614">
            <v>4.9530622188904472E-2</v>
          </cell>
          <cell r="N614">
            <v>0.20085484657351116</v>
          </cell>
          <cell r="O614">
            <v>0</v>
          </cell>
          <cell r="P614">
            <v>0.99999999999999933</v>
          </cell>
          <cell r="Q614">
            <v>0</v>
          </cell>
          <cell r="R614">
            <v>0</v>
          </cell>
          <cell r="S614">
            <v>0</v>
          </cell>
          <cell r="T614">
            <v>0</v>
          </cell>
          <cell r="U614">
            <v>0</v>
          </cell>
          <cell r="V614">
            <v>0</v>
          </cell>
          <cell r="W614">
            <v>0</v>
          </cell>
          <cell r="X614">
            <v>-0.3808176175159691</v>
          </cell>
          <cell r="Y614">
            <v>0</v>
          </cell>
          <cell r="Z614">
            <v>0</v>
          </cell>
          <cell r="AA614">
            <v>0</v>
          </cell>
          <cell r="AB614">
            <v>0</v>
          </cell>
          <cell r="AC614">
            <v>0</v>
          </cell>
          <cell r="AD614">
            <v>0</v>
          </cell>
          <cell r="AE614">
            <v>0</v>
          </cell>
          <cell r="AF614">
            <v>0</v>
          </cell>
          <cell r="AG614">
            <v>0</v>
          </cell>
          <cell r="AH614">
            <v>6.6613381477509392E-16</v>
          </cell>
          <cell r="AI614">
            <v>-6.6613381477509392E-16</v>
          </cell>
          <cell r="AJ614">
            <v>0</v>
          </cell>
          <cell r="AK614">
            <v>0</v>
          </cell>
          <cell r="AL614">
            <v>4.4408920985006262E-16</v>
          </cell>
          <cell r="AM614">
            <v>0</v>
          </cell>
          <cell r="AN614">
            <v>0</v>
          </cell>
          <cell r="AO614">
            <v>0</v>
          </cell>
          <cell r="AP614">
            <v>-0.17381722509902431</v>
          </cell>
          <cell r="AQ614">
            <v>-1</v>
          </cell>
          <cell r="AR614" t="str">
            <v>n.a.</v>
          </cell>
          <cell r="AS614" t="str">
            <v>n.a.</v>
          </cell>
          <cell r="AT614" t="str">
            <v>n.a.</v>
          </cell>
        </row>
        <row r="616">
          <cell r="E616" t="str">
            <v>Unitary cost</v>
          </cell>
          <cell r="F616" t="str">
            <v>[R$/ton]</v>
          </cell>
          <cell r="L616">
            <v>1.5845423195181627</v>
          </cell>
          <cell r="M616">
            <v>1.1784536095855285</v>
          </cell>
          <cell r="N616">
            <v>1.1223599418049686</v>
          </cell>
          <cell r="O616">
            <v>1.1223599418049686</v>
          </cell>
          <cell r="P616">
            <v>1.2397117839260769</v>
          </cell>
          <cell r="Q616">
            <v>1.2397117839260769</v>
          </cell>
          <cell r="R616">
            <v>1.2397117839260769</v>
          </cell>
          <cell r="S616">
            <v>1.2397117839260769</v>
          </cell>
          <cell r="T616">
            <v>1.2397117839260769</v>
          </cell>
          <cell r="U616">
            <v>1.2397117839260769</v>
          </cell>
          <cell r="V616">
            <v>1.2397117839260769</v>
          </cell>
          <cell r="W616">
            <v>1.2397117839260769</v>
          </cell>
          <cell r="X616">
            <v>1.2397117839260769</v>
          </cell>
          <cell r="Y616">
            <v>1.2397117839260769</v>
          </cell>
          <cell r="Z616">
            <v>1.2397117839260769</v>
          </cell>
          <cell r="AA616">
            <v>1.2397117839260769</v>
          </cell>
          <cell r="AB616">
            <v>1.2397117839260769</v>
          </cell>
          <cell r="AC616">
            <v>1.2397117839260769</v>
          </cell>
          <cell r="AD616">
            <v>1.2397117839260769</v>
          </cell>
          <cell r="AE616">
            <v>1.2397117839260769</v>
          </cell>
          <cell r="AF616">
            <v>1.2397117839260769</v>
          </cell>
          <cell r="AG616">
            <v>1.2397117839260769</v>
          </cell>
          <cell r="AH616">
            <v>1.2397117839260769</v>
          </cell>
          <cell r="AI616">
            <v>1.2397117839260769</v>
          </cell>
          <cell r="AJ616">
            <v>1.2397117839260769</v>
          </cell>
          <cell r="AK616">
            <v>1.2397117839260769</v>
          </cell>
          <cell r="AL616">
            <v>1.2397117839260769</v>
          </cell>
          <cell r="AM616">
            <v>1.2397117839260769</v>
          </cell>
          <cell r="AN616">
            <v>1.2397117839260769</v>
          </cell>
          <cell r="AO616">
            <v>1.2397117839260769</v>
          </cell>
          <cell r="AP616">
            <v>1.2397117839260769</v>
          </cell>
          <cell r="AQ616">
            <v>1.2397117839260769</v>
          </cell>
          <cell r="AR616">
            <v>1.2397117839260769</v>
          </cell>
          <cell r="AS616">
            <v>1.2397117839260769</v>
          </cell>
          <cell r="AT616">
            <v>1.2397117839260769</v>
          </cell>
        </row>
        <row r="618">
          <cell r="E618" t="str">
            <v>Movimentação</v>
          </cell>
          <cell r="L618">
            <v>10983.613239999999</v>
          </cell>
          <cell r="M618">
            <v>15500</v>
          </cell>
          <cell r="N618">
            <v>19543.509149999998</v>
          </cell>
          <cell r="O618">
            <v>19543.509149999998</v>
          </cell>
          <cell r="P618">
            <v>35387.018299999996</v>
          </cell>
          <cell r="Q618">
            <v>35387.018299999996</v>
          </cell>
          <cell r="R618">
            <v>35387.018299999996</v>
          </cell>
          <cell r="S618">
            <v>35387.018299999996</v>
          </cell>
          <cell r="T618">
            <v>35387.018299999996</v>
          </cell>
          <cell r="U618">
            <v>35387.018299999996</v>
          </cell>
          <cell r="V618">
            <v>35387.018299999996</v>
          </cell>
          <cell r="W618">
            <v>35387.018299999996</v>
          </cell>
          <cell r="X618">
            <v>21911.018299999996</v>
          </cell>
          <cell r="Y618">
            <v>21911.018299999996</v>
          </cell>
          <cell r="Z618">
            <v>21911.018299999996</v>
          </cell>
          <cell r="AA618">
            <v>21911.018299999996</v>
          </cell>
          <cell r="AB618">
            <v>21911.018299999996</v>
          </cell>
          <cell r="AC618">
            <v>21911.018299999996</v>
          </cell>
          <cell r="AD618">
            <v>21911.018299999996</v>
          </cell>
          <cell r="AE618">
            <v>21911.018299999996</v>
          </cell>
          <cell r="AF618">
            <v>21911.018299999996</v>
          </cell>
          <cell r="AG618">
            <v>21911.018299999996</v>
          </cell>
          <cell r="AH618">
            <v>21911.018300000011</v>
          </cell>
          <cell r="AI618">
            <v>21911.018299999996</v>
          </cell>
          <cell r="AJ618">
            <v>21911.018299999996</v>
          </cell>
          <cell r="AK618">
            <v>21911.018299999996</v>
          </cell>
          <cell r="AL618">
            <v>21911.018300000003</v>
          </cell>
          <cell r="AM618">
            <v>21911.018300000003</v>
          </cell>
          <cell r="AN618">
            <v>21911.018300000003</v>
          </cell>
          <cell r="AO618">
            <v>21911.018300000003</v>
          </cell>
          <cell r="AP618">
            <v>18102.505900000062</v>
          </cell>
          <cell r="AQ618">
            <v>0</v>
          </cell>
          <cell r="AR618">
            <v>0</v>
          </cell>
          <cell r="AS618">
            <v>0</v>
          </cell>
          <cell r="AT618">
            <v>0</v>
          </cell>
        </row>
        <row r="620">
          <cell r="A620" t="str">
            <v>x</v>
          </cell>
          <cell r="E620" t="str">
            <v>Variable Energy</v>
          </cell>
          <cell r="F620" t="str">
            <v>[R$ '000]</v>
          </cell>
          <cell r="L620">
            <v>-11510</v>
          </cell>
          <cell r="M620">
            <v>-12080.0974613943</v>
          </cell>
          <cell r="N620">
            <v>-14506.443583595696</v>
          </cell>
          <cell r="O620">
            <v>-14506.443583595696</v>
          </cell>
          <cell r="P620">
            <v>-29012.887167191395</v>
          </cell>
          <cell r="Q620">
            <v>-29012.887167191395</v>
          </cell>
          <cell r="R620">
            <v>-29012.887167191395</v>
          </cell>
          <cell r="S620">
            <v>-29012.887167191395</v>
          </cell>
          <cell r="T620">
            <v>-29012.887167191395</v>
          </cell>
          <cell r="U620">
            <v>-29012.887167191395</v>
          </cell>
          <cell r="V620">
            <v>-29012.887167191395</v>
          </cell>
          <cell r="W620">
            <v>-29012.887167191395</v>
          </cell>
          <cell r="X620">
            <v>-17964.268598921932</v>
          </cell>
          <cell r="Y620">
            <v>-17964.268598921932</v>
          </cell>
          <cell r="Z620">
            <v>-17964.268598921932</v>
          </cell>
          <cell r="AA620">
            <v>-17964.268598921932</v>
          </cell>
          <cell r="AB620">
            <v>-17964.268598921932</v>
          </cell>
          <cell r="AC620">
            <v>-17964.268598921932</v>
          </cell>
          <cell r="AD620">
            <v>-17964.268598921932</v>
          </cell>
          <cell r="AE620">
            <v>-17964.268598921932</v>
          </cell>
          <cell r="AF620">
            <v>-17964.268598921932</v>
          </cell>
          <cell r="AG620">
            <v>-17964.268598921932</v>
          </cell>
          <cell r="AH620">
            <v>-17964.268598921946</v>
          </cell>
          <cell r="AI620">
            <v>-17964.268598921932</v>
          </cell>
          <cell r="AJ620">
            <v>-17964.268598921932</v>
          </cell>
          <cell r="AK620">
            <v>-17964.268598921932</v>
          </cell>
          <cell r="AL620">
            <v>-17964.268598921939</v>
          </cell>
          <cell r="AM620">
            <v>-17964.268598921939</v>
          </cell>
          <cell r="AN620">
            <v>-17964.268598921939</v>
          </cell>
          <cell r="AO620">
            <v>-17964.268598921939</v>
          </cell>
          <cell r="AP620">
            <v>-14841.76928012379</v>
          </cell>
          <cell r="AQ620">
            <v>0</v>
          </cell>
          <cell r="AR620">
            <v>0</v>
          </cell>
          <cell r="AS620">
            <v>0</v>
          </cell>
          <cell r="AT620">
            <v>0</v>
          </cell>
        </row>
        <row r="621">
          <cell r="E621" t="str">
            <v>Growtth</v>
          </cell>
          <cell r="F621" t="str">
            <v>[%]</v>
          </cell>
          <cell r="L621"/>
          <cell r="M621">
            <v>4.953062218890536E-2</v>
          </cell>
          <cell r="N621">
            <v>0.2008548465735096</v>
          </cell>
          <cell r="O621">
            <v>0</v>
          </cell>
          <cell r="P621">
            <v>1.0000000000000004</v>
          </cell>
          <cell r="Q621">
            <v>0</v>
          </cell>
          <cell r="R621">
            <v>0</v>
          </cell>
          <cell r="S621">
            <v>0</v>
          </cell>
          <cell r="T621">
            <v>0</v>
          </cell>
          <cell r="U621">
            <v>0</v>
          </cell>
          <cell r="V621">
            <v>0</v>
          </cell>
          <cell r="W621">
            <v>0</v>
          </cell>
          <cell r="X621">
            <v>-0.38081761751596921</v>
          </cell>
          <cell r="Y621">
            <v>0</v>
          </cell>
          <cell r="Z621">
            <v>0</v>
          </cell>
          <cell r="AA621">
            <v>0</v>
          </cell>
          <cell r="AB621">
            <v>0</v>
          </cell>
          <cell r="AC621">
            <v>0</v>
          </cell>
          <cell r="AD621">
            <v>0</v>
          </cell>
          <cell r="AE621">
            <v>0</v>
          </cell>
          <cell r="AF621">
            <v>0</v>
          </cell>
          <cell r="AG621">
            <v>0</v>
          </cell>
          <cell r="AH621">
            <v>8.8817841970012523E-16</v>
          </cell>
          <cell r="AI621">
            <v>-7.7715611723760958E-16</v>
          </cell>
          <cell r="AJ621">
            <v>0</v>
          </cell>
          <cell r="AK621">
            <v>0</v>
          </cell>
          <cell r="AL621">
            <v>4.4408920985006262E-16</v>
          </cell>
          <cell r="AM621">
            <v>0</v>
          </cell>
          <cell r="AN621">
            <v>0</v>
          </cell>
          <cell r="AO621">
            <v>0</v>
          </cell>
          <cell r="AP621">
            <v>-0.17381722509902431</v>
          </cell>
          <cell r="AQ621">
            <v>-1</v>
          </cell>
          <cell r="AR621"/>
          <cell r="AS621"/>
          <cell r="AT621"/>
        </row>
        <row r="623">
          <cell r="E623" t="str">
            <v>Unitary cost</v>
          </cell>
          <cell r="F623" t="str">
            <v>[R$/ton]</v>
          </cell>
          <cell r="L623">
            <v>1.0479247355581505</v>
          </cell>
          <cell r="M623">
            <v>0.77936112654156775</v>
          </cell>
          <cell r="N623">
            <v>0.74226401575357293</v>
          </cell>
          <cell r="O623">
            <v>0.74226401575357293</v>
          </cell>
          <cell r="P623">
            <v>0.81987374356407416</v>
          </cell>
          <cell r="Q623">
            <v>0.81987374356407416</v>
          </cell>
          <cell r="R623">
            <v>0.81987374356407416</v>
          </cell>
          <cell r="S623">
            <v>0.81987374356407416</v>
          </cell>
          <cell r="T623">
            <v>0.81987374356407416</v>
          </cell>
          <cell r="U623">
            <v>0.81987374356407416</v>
          </cell>
          <cell r="V623">
            <v>0.81987374356407416</v>
          </cell>
          <cell r="W623">
            <v>0.81987374356407416</v>
          </cell>
          <cell r="X623">
            <v>0.81987374356407416</v>
          </cell>
          <cell r="Y623">
            <v>0.81987374356407416</v>
          </cell>
          <cell r="Z623">
            <v>0.81987374356407416</v>
          </cell>
          <cell r="AA623">
            <v>0.81987374356407416</v>
          </cell>
          <cell r="AB623">
            <v>0.81987374356407416</v>
          </cell>
          <cell r="AC623">
            <v>0.81987374356407416</v>
          </cell>
          <cell r="AD623">
            <v>0.81987374356407416</v>
          </cell>
          <cell r="AE623">
            <v>0.81987374356407416</v>
          </cell>
          <cell r="AF623">
            <v>0.81987374356407416</v>
          </cell>
          <cell r="AG623">
            <v>0.81987374356407416</v>
          </cell>
          <cell r="AH623">
            <v>0.81987374356407416</v>
          </cell>
          <cell r="AI623">
            <v>0.81987374356407416</v>
          </cell>
          <cell r="AJ623">
            <v>0.81987374356407416</v>
          </cell>
          <cell r="AK623">
            <v>0.81987374356407416</v>
          </cell>
          <cell r="AL623">
            <v>0.81987374356407416</v>
          </cell>
          <cell r="AM623">
            <v>0.81987374356407416</v>
          </cell>
          <cell r="AN623">
            <v>0.81987374356407416</v>
          </cell>
          <cell r="AO623">
            <v>0.81987374356407416</v>
          </cell>
          <cell r="AP623">
            <v>0.81987374356407416</v>
          </cell>
          <cell r="AQ623">
            <v>0.81987374356407416</v>
          </cell>
          <cell r="AR623">
            <v>0.81987374356407416</v>
          </cell>
          <cell r="AS623">
            <v>0.81987374356407416</v>
          </cell>
          <cell r="AT623">
            <v>0.81987374356407416</v>
          </cell>
        </row>
        <row r="625">
          <cell r="E625" t="str">
            <v>Movimentação</v>
          </cell>
          <cell r="L625">
            <v>10983.613239999999</v>
          </cell>
          <cell r="M625">
            <v>15500</v>
          </cell>
          <cell r="N625">
            <v>19543.509149999998</v>
          </cell>
          <cell r="O625">
            <v>19543.509149999998</v>
          </cell>
          <cell r="P625">
            <v>35387.018299999996</v>
          </cell>
          <cell r="Q625">
            <v>35387.018299999996</v>
          </cell>
          <cell r="R625">
            <v>35387.018299999996</v>
          </cell>
          <cell r="S625">
            <v>35387.018299999996</v>
          </cell>
          <cell r="T625">
            <v>35387.018299999996</v>
          </cell>
          <cell r="U625">
            <v>35387.018299999996</v>
          </cell>
          <cell r="V625">
            <v>35387.018299999996</v>
          </cell>
          <cell r="W625">
            <v>35387.018299999996</v>
          </cell>
          <cell r="X625">
            <v>21911.018299999996</v>
          </cell>
          <cell r="Y625">
            <v>21911.018299999996</v>
          </cell>
          <cell r="Z625">
            <v>21911.018299999996</v>
          </cell>
          <cell r="AA625">
            <v>21911.018299999996</v>
          </cell>
          <cell r="AB625">
            <v>21911.018299999996</v>
          </cell>
          <cell r="AC625">
            <v>21911.018299999996</v>
          </cell>
          <cell r="AD625">
            <v>21911.018299999996</v>
          </cell>
          <cell r="AE625">
            <v>21911.018299999996</v>
          </cell>
          <cell r="AF625">
            <v>21911.018299999996</v>
          </cell>
          <cell r="AG625">
            <v>21911.018299999996</v>
          </cell>
          <cell r="AH625">
            <v>21911.018300000011</v>
          </cell>
          <cell r="AI625">
            <v>21911.018299999996</v>
          </cell>
          <cell r="AJ625">
            <v>21911.018299999996</v>
          </cell>
          <cell r="AK625">
            <v>21911.018299999996</v>
          </cell>
          <cell r="AL625">
            <v>21911.018300000003</v>
          </cell>
          <cell r="AM625">
            <v>21911.018300000003</v>
          </cell>
          <cell r="AN625">
            <v>21911.018300000003</v>
          </cell>
          <cell r="AO625">
            <v>21911.018300000003</v>
          </cell>
          <cell r="AP625">
            <v>18102.505900000062</v>
          </cell>
          <cell r="AQ625">
            <v>0</v>
          </cell>
          <cell r="AR625">
            <v>0</v>
          </cell>
          <cell r="AS625">
            <v>0</v>
          </cell>
          <cell r="AT625">
            <v>0</v>
          </cell>
        </row>
        <row r="627">
          <cell r="E627" t="str">
            <v>Changes in inventories of finished goods</v>
          </cell>
          <cell r="F627" t="str">
            <v>[R$ '000]</v>
          </cell>
          <cell r="L627">
            <v>-7342</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row>
        <row r="628">
          <cell r="E628" t="str">
            <v>Purchases of raw materials</v>
          </cell>
          <cell r="F628" t="str">
            <v>[R$ '000]</v>
          </cell>
          <cell r="L628">
            <v>0</v>
          </cell>
          <cell r="M628">
            <v>-802.00000000000011</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row>
        <row r="630">
          <cell r="E630" t="str">
            <v>Fixed costs</v>
          </cell>
          <cell r="F630" t="str">
            <v>[R$ '000]</v>
          </cell>
          <cell r="L630">
            <v>-27528</v>
          </cell>
          <cell r="M630">
            <v>-24930.780439999995</v>
          </cell>
          <cell r="N630">
            <v>-24930.780439999995</v>
          </cell>
          <cell r="O630">
            <v>-24930.780439999995</v>
          </cell>
          <cell r="P630">
            <v>-24930.780439999995</v>
          </cell>
          <cell r="Q630">
            <v>-24930.780439999995</v>
          </cell>
          <cell r="R630">
            <v>-24930.780439999995</v>
          </cell>
          <cell r="S630">
            <v>-24930.780439999995</v>
          </cell>
          <cell r="T630">
            <v>-24930.780439999995</v>
          </cell>
          <cell r="U630">
            <v>-24930.780439999995</v>
          </cell>
          <cell r="V630">
            <v>-24930.780439999995</v>
          </cell>
          <cell r="W630">
            <v>-24930.780439999995</v>
          </cell>
          <cell r="X630">
            <v>-24930.780439999995</v>
          </cell>
          <cell r="Y630">
            <v>-24930.780439999995</v>
          </cell>
          <cell r="Z630">
            <v>-24930.780439999995</v>
          </cell>
          <cell r="AA630">
            <v>-24930.780439999995</v>
          </cell>
          <cell r="AB630">
            <v>-24930.780439999995</v>
          </cell>
          <cell r="AC630">
            <v>-24930.780439999995</v>
          </cell>
          <cell r="AD630">
            <v>-24930.780439999995</v>
          </cell>
          <cell r="AE630">
            <v>-24930.780439999995</v>
          </cell>
          <cell r="AF630">
            <v>-24930.780439999995</v>
          </cell>
          <cell r="AG630">
            <v>-24930.780439999995</v>
          </cell>
          <cell r="AH630">
            <v>-24930.780439999995</v>
          </cell>
          <cell r="AI630">
            <v>-24930.780439999995</v>
          </cell>
          <cell r="AJ630">
            <v>-24930.780439999995</v>
          </cell>
          <cell r="AK630">
            <v>-24930.780439999995</v>
          </cell>
          <cell r="AL630">
            <v>-24930.780439999995</v>
          </cell>
          <cell r="AM630">
            <v>-24930.780439999995</v>
          </cell>
          <cell r="AN630">
            <v>-24930.780439999995</v>
          </cell>
          <cell r="AO630">
            <v>-24930.780439999995</v>
          </cell>
          <cell r="AP630">
            <v>-24930.780439999995</v>
          </cell>
          <cell r="AQ630">
            <v>0</v>
          </cell>
          <cell r="AR630">
            <v>0</v>
          </cell>
          <cell r="AS630">
            <v>0</v>
          </cell>
          <cell r="AT630">
            <v>0</v>
          </cell>
        </row>
        <row r="631">
          <cell r="E631" t="str">
            <v>Growtth</v>
          </cell>
          <cell r="F631" t="str">
            <v>[%]</v>
          </cell>
          <cell r="L631"/>
          <cell r="M631">
            <v>-9.4348283929090559E-2</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-1</v>
          </cell>
          <cell r="AR631"/>
          <cell r="AS631"/>
          <cell r="AT631"/>
        </row>
        <row r="633">
          <cell r="A633" t="str">
            <v>x</v>
          </cell>
          <cell r="E633" t="str">
            <v>Fixed Maintenance</v>
          </cell>
          <cell r="F633" t="str">
            <v>[R$ '000]</v>
          </cell>
          <cell r="L633">
            <v>-2622</v>
          </cell>
          <cell r="M633">
            <v>-2622.0000000000005</v>
          </cell>
          <cell r="N633">
            <v>-2622.0000000000005</v>
          </cell>
          <cell r="O633">
            <v>-2622.0000000000005</v>
          </cell>
          <cell r="P633">
            <v>-2622.0000000000005</v>
          </cell>
          <cell r="Q633">
            <v>-2622.0000000000005</v>
          </cell>
          <cell r="R633">
            <v>-2622.0000000000005</v>
          </cell>
          <cell r="S633">
            <v>-2622.0000000000005</v>
          </cell>
          <cell r="T633">
            <v>-2622.0000000000005</v>
          </cell>
          <cell r="U633">
            <v>-2622.0000000000005</v>
          </cell>
          <cell r="V633">
            <v>-2622.0000000000005</v>
          </cell>
          <cell r="W633">
            <v>-2622.0000000000005</v>
          </cell>
          <cell r="X633">
            <v>-2622.0000000000005</v>
          </cell>
          <cell r="Y633">
            <v>-2622.0000000000005</v>
          </cell>
          <cell r="Z633">
            <v>-2622.0000000000005</v>
          </cell>
          <cell r="AA633">
            <v>-2622.0000000000005</v>
          </cell>
          <cell r="AB633">
            <v>-2622.0000000000005</v>
          </cell>
          <cell r="AC633">
            <v>-2622.0000000000005</v>
          </cell>
          <cell r="AD633">
            <v>-2622.0000000000005</v>
          </cell>
          <cell r="AE633">
            <v>-2622.0000000000005</v>
          </cell>
          <cell r="AF633">
            <v>-2622.0000000000005</v>
          </cell>
          <cell r="AG633">
            <v>-2622.0000000000005</v>
          </cell>
          <cell r="AH633">
            <v>-2622.0000000000005</v>
          </cell>
          <cell r="AI633">
            <v>-2622.0000000000005</v>
          </cell>
          <cell r="AJ633">
            <v>-2622.0000000000005</v>
          </cell>
          <cell r="AK633">
            <v>-2622.0000000000005</v>
          </cell>
          <cell r="AL633">
            <v>-2622.0000000000005</v>
          </cell>
          <cell r="AM633">
            <v>-2622.0000000000005</v>
          </cell>
          <cell r="AN633">
            <v>-2622.0000000000005</v>
          </cell>
          <cell r="AO633">
            <v>-2622.0000000000005</v>
          </cell>
          <cell r="AP633">
            <v>-2622.0000000000005</v>
          </cell>
          <cell r="AQ633">
            <v>0</v>
          </cell>
          <cell r="AR633">
            <v>0</v>
          </cell>
          <cell r="AS633">
            <v>0</v>
          </cell>
          <cell r="AT633">
            <v>0</v>
          </cell>
        </row>
        <row r="634">
          <cell r="E634" t="str">
            <v>Growtth</v>
          </cell>
          <cell r="F634" t="str">
            <v>[%]</v>
          </cell>
          <cell r="L634"/>
          <cell r="M634">
            <v>2.2204460492503131E-16</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-1</v>
          </cell>
          <cell r="AR634"/>
          <cell r="AS634"/>
          <cell r="AT634"/>
        </row>
        <row r="636">
          <cell r="A636" t="str">
            <v>x</v>
          </cell>
          <cell r="E636" t="str">
            <v>Production Support</v>
          </cell>
          <cell r="F636" t="str">
            <v>[R$ '000]</v>
          </cell>
          <cell r="L636">
            <v>-17053</v>
          </cell>
          <cell r="M636">
            <v>-17074.780439999999</v>
          </cell>
          <cell r="N636">
            <v>-17074.780439999999</v>
          </cell>
          <cell r="O636">
            <v>-17074.780439999999</v>
          </cell>
          <cell r="P636">
            <v>-17074.780439999999</v>
          </cell>
          <cell r="Q636">
            <v>-17074.780439999999</v>
          </cell>
          <cell r="R636">
            <v>-17074.780439999999</v>
          </cell>
          <cell r="S636">
            <v>-17074.780439999999</v>
          </cell>
          <cell r="T636">
            <v>-17074.780439999999</v>
          </cell>
          <cell r="U636">
            <v>-17074.780439999999</v>
          </cell>
          <cell r="V636">
            <v>-17074.780439999999</v>
          </cell>
          <cell r="W636">
            <v>-17074.780439999999</v>
          </cell>
          <cell r="X636">
            <v>-17074.780439999999</v>
          </cell>
          <cell r="Y636">
            <v>-17074.780439999999</v>
          </cell>
          <cell r="Z636">
            <v>-17074.780439999999</v>
          </cell>
          <cell r="AA636">
            <v>-17074.780439999999</v>
          </cell>
          <cell r="AB636">
            <v>-17074.780439999999</v>
          </cell>
          <cell r="AC636">
            <v>-17074.780439999999</v>
          </cell>
          <cell r="AD636">
            <v>-17074.780439999999</v>
          </cell>
          <cell r="AE636">
            <v>-17074.780439999999</v>
          </cell>
          <cell r="AF636">
            <v>-17074.780439999999</v>
          </cell>
          <cell r="AG636">
            <v>-17074.780439999999</v>
          </cell>
          <cell r="AH636">
            <v>-17074.780439999999</v>
          </cell>
          <cell r="AI636">
            <v>-17074.780439999999</v>
          </cell>
          <cell r="AJ636">
            <v>-17074.780439999999</v>
          </cell>
          <cell r="AK636">
            <v>-17074.780439999999</v>
          </cell>
          <cell r="AL636">
            <v>-17074.780439999999</v>
          </cell>
          <cell r="AM636">
            <v>-17074.780439999999</v>
          </cell>
          <cell r="AN636">
            <v>-17074.780439999999</v>
          </cell>
          <cell r="AO636">
            <v>-17074.780439999999</v>
          </cell>
          <cell r="AP636">
            <v>-17074.780439999999</v>
          </cell>
          <cell r="AQ636">
            <v>0</v>
          </cell>
          <cell r="AR636">
            <v>0</v>
          </cell>
          <cell r="AS636">
            <v>0</v>
          </cell>
          <cell r="AT636">
            <v>0</v>
          </cell>
        </row>
        <row r="637">
          <cell r="E637" t="str">
            <v>Growtth</v>
          </cell>
          <cell r="F637" t="str">
            <v>[%]</v>
          </cell>
          <cell r="L637"/>
          <cell r="M637">
            <v>1.2772204304227763E-3</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-1</v>
          </cell>
          <cell r="AR637"/>
          <cell r="AS637"/>
          <cell r="AT637"/>
        </row>
        <row r="639">
          <cell r="A639" t="str">
            <v>x</v>
          </cell>
          <cell r="E639" t="str">
            <v>General Industrial Expenses</v>
          </cell>
          <cell r="F639" t="str">
            <v>[R$ '000]</v>
          </cell>
          <cell r="L639">
            <v>-7853</v>
          </cell>
          <cell r="M639">
            <v>-5233.9999999999982</v>
          </cell>
          <cell r="N639">
            <v>-5233.9999999999982</v>
          </cell>
          <cell r="O639">
            <v>-5233.9999999999982</v>
          </cell>
          <cell r="P639">
            <v>-5233.9999999999982</v>
          </cell>
          <cell r="Q639">
            <v>-5233.9999999999982</v>
          </cell>
          <cell r="R639">
            <v>-5233.9999999999982</v>
          </cell>
          <cell r="S639">
            <v>-5233.9999999999982</v>
          </cell>
          <cell r="T639">
            <v>-5233.9999999999982</v>
          </cell>
          <cell r="U639">
            <v>-5233.9999999999982</v>
          </cell>
          <cell r="V639">
            <v>-5233.9999999999982</v>
          </cell>
          <cell r="W639">
            <v>-5233.9999999999982</v>
          </cell>
          <cell r="X639">
            <v>-5233.9999999999982</v>
          </cell>
          <cell r="Y639">
            <v>-5233.9999999999982</v>
          </cell>
          <cell r="Z639">
            <v>-5233.9999999999982</v>
          </cell>
          <cell r="AA639">
            <v>-5233.9999999999982</v>
          </cell>
          <cell r="AB639">
            <v>-5233.9999999999982</v>
          </cell>
          <cell r="AC639">
            <v>-5233.9999999999982</v>
          </cell>
          <cell r="AD639">
            <v>-5233.9999999999982</v>
          </cell>
          <cell r="AE639">
            <v>-5233.9999999999982</v>
          </cell>
          <cell r="AF639">
            <v>-5233.9999999999982</v>
          </cell>
          <cell r="AG639">
            <v>-5233.9999999999982</v>
          </cell>
          <cell r="AH639">
            <v>-5233.9999999999982</v>
          </cell>
          <cell r="AI639">
            <v>-5233.9999999999982</v>
          </cell>
          <cell r="AJ639">
            <v>-5233.9999999999982</v>
          </cell>
          <cell r="AK639">
            <v>-5233.9999999999982</v>
          </cell>
          <cell r="AL639">
            <v>-5233.9999999999982</v>
          </cell>
          <cell r="AM639">
            <v>-5233.9999999999982</v>
          </cell>
          <cell r="AN639">
            <v>-5233.9999999999982</v>
          </cell>
          <cell r="AO639">
            <v>-5233.9999999999982</v>
          </cell>
          <cell r="AP639">
            <v>-5233.9999999999982</v>
          </cell>
          <cell r="AQ639">
            <v>0</v>
          </cell>
          <cell r="AR639">
            <v>0</v>
          </cell>
          <cell r="AS639">
            <v>0</v>
          </cell>
          <cell r="AT639">
            <v>0</v>
          </cell>
        </row>
        <row r="640">
          <cell r="E640" t="str">
            <v>Growtth</v>
          </cell>
          <cell r="F640" t="str">
            <v>[%]</v>
          </cell>
          <cell r="I640"/>
          <cell r="J640"/>
          <cell r="K640"/>
          <cell r="L640"/>
          <cell r="M640">
            <v>-0.33350311982681802</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-1</v>
          </cell>
          <cell r="AR640"/>
          <cell r="AS640"/>
          <cell r="AT640"/>
        </row>
        <row r="642">
          <cell r="E642" t="str">
            <v>Cost structure until 2015</v>
          </cell>
        </row>
        <row r="644">
          <cell r="E644" t="str">
            <v>Varialbe Costs</v>
          </cell>
          <cell r="F644" t="str">
            <v>[R$ '000]</v>
          </cell>
          <cell r="I644">
            <v>-86462</v>
          </cell>
          <cell r="J644">
            <v>-96597</v>
          </cell>
          <cell r="K644">
            <v>-102323.20477585042</v>
          </cell>
        </row>
        <row r="646">
          <cell r="E646" t="str">
            <v>Fixed costs</v>
          </cell>
          <cell r="F646" t="str">
            <v>[R$ '000]</v>
          </cell>
          <cell r="I646">
            <v>-43326</v>
          </cell>
          <cell r="J646">
            <v>-37415</v>
          </cell>
          <cell r="K646">
            <v>-38757.79522414958</v>
          </cell>
        </row>
        <row r="648">
          <cell r="E648" t="str">
            <v>Detailed cost structure:</v>
          </cell>
          <cell r="I648">
            <v>0</v>
          </cell>
          <cell r="J648">
            <v>0</v>
          </cell>
          <cell r="K648">
            <v>0</v>
          </cell>
        </row>
        <row r="649">
          <cell r="E649" t="str">
            <v>Freight costs</v>
          </cell>
          <cell r="F649" t="str">
            <v>[R$ '000]</v>
          </cell>
          <cell r="I649">
            <v>-24459</v>
          </cell>
          <cell r="J649">
            <v>-23635</v>
          </cell>
          <cell r="K649">
            <v>-30412</v>
          </cell>
        </row>
        <row r="650">
          <cell r="E650" t="str">
            <v>Energy</v>
          </cell>
          <cell r="F650" t="str">
            <v>[R$ '000]</v>
          </cell>
          <cell r="I650">
            <v>-16256</v>
          </cell>
          <cell r="J650">
            <v>-20269</v>
          </cell>
          <cell r="K650">
            <v>-22618</v>
          </cell>
        </row>
        <row r="651">
          <cell r="E651" t="str">
            <v>Staff costs</v>
          </cell>
          <cell r="F651" t="str">
            <v>[R$ '000]</v>
          </cell>
          <cell r="I651">
            <v>-18592</v>
          </cell>
          <cell r="J651">
            <v>-19593</v>
          </cell>
          <cell r="K651">
            <v>-20903</v>
          </cell>
        </row>
        <row r="652">
          <cell r="E652" t="str">
            <v>Industrial sub contracting</v>
          </cell>
          <cell r="F652" t="str">
            <v>[R$ '000]</v>
          </cell>
          <cell r="I652">
            <v>-438</v>
          </cell>
          <cell r="J652">
            <v>-396</v>
          </cell>
          <cell r="K652">
            <v>-47343</v>
          </cell>
        </row>
        <row r="653">
          <cell r="E653" t="str">
            <v>Maintenance</v>
          </cell>
          <cell r="F653" t="str">
            <v>[R$ '000]</v>
          </cell>
          <cell r="I653">
            <v>-12543</v>
          </cell>
          <cell r="J653">
            <v>-8660</v>
          </cell>
          <cell r="K653">
            <v>-9816</v>
          </cell>
        </row>
        <row r="654">
          <cell r="E654" t="str">
            <v>Consumables</v>
          </cell>
          <cell r="F654" t="str">
            <v>[R$ '000]</v>
          </cell>
          <cell r="I654">
            <v>-2621</v>
          </cell>
          <cell r="J654">
            <v>-3397</v>
          </cell>
          <cell r="K654">
            <v>-1339</v>
          </cell>
        </row>
        <row r="655">
          <cell r="E655" t="str">
            <v>Changes in inventories of finished goods</v>
          </cell>
          <cell r="F655" t="str">
            <v>[R$ '000]</v>
          </cell>
          <cell r="I655">
            <v>-3996</v>
          </cell>
          <cell r="J655">
            <v>2320</v>
          </cell>
          <cell r="K655">
            <v>3889</v>
          </cell>
        </row>
        <row r="656">
          <cell r="E656" t="str">
            <v>Purchases of raw materials</v>
          </cell>
          <cell r="F656" t="str">
            <v>[R$ '000]</v>
          </cell>
          <cell r="I656">
            <v>-1685</v>
          </cell>
          <cell r="J656">
            <v>-244</v>
          </cell>
          <cell r="K656">
            <v>-1100</v>
          </cell>
        </row>
        <row r="657">
          <cell r="E657" t="str">
            <v>Others</v>
          </cell>
          <cell r="F657" t="str">
            <v>[R$ '000]</v>
          </cell>
          <cell r="I657">
            <v>-49198</v>
          </cell>
          <cell r="J657">
            <v>-60138</v>
          </cell>
          <cell r="K657">
            <v>-11439</v>
          </cell>
        </row>
        <row r="659">
          <cell r="E659" t="str">
            <v>AUX:</v>
          </cell>
        </row>
        <row r="660">
          <cell r="E660" t="str">
            <v>Mine in operation</v>
          </cell>
          <cell r="F660" t="str">
            <v>[1/0]</v>
          </cell>
          <cell r="I660">
            <v>1</v>
          </cell>
          <cell r="J660">
            <v>1</v>
          </cell>
          <cell r="K660">
            <v>1</v>
          </cell>
          <cell r="L660">
            <v>1</v>
          </cell>
          <cell r="M660">
            <v>1</v>
          </cell>
          <cell r="N660">
            <v>1</v>
          </cell>
          <cell r="O660">
            <v>1</v>
          </cell>
          <cell r="P660">
            <v>1</v>
          </cell>
          <cell r="Q660">
            <v>1</v>
          </cell>
          <cell r="R660">
            <v>1</v>
          </cell>
          <cell r="S660">
            <v>1</v>
          </cell>
          <cell r="T660">
            <v>1</v>
          </cell>
          <cell r="U660">
            <v>1</v>
          </cell>
          <cell r="V660">
            <v>1</v>
          </cell>
          <cell r="W660">
            <v>1</v>
          </cell>
          <cell r="X660">
            <v>1</v>
          </cell>
          <cell r="Y660">
            <v>1</v>
          </cell>
          <cell r="Z660">
            <v>1</v>
          </cell>
          <cell r="AA660">
            <v>1</v>
          </cell>
          <cell r="AB660">
            <v>1</v>
          </cell>
          <cell r="AC660">
            <v>1</v>
          </cell>
          <cell r="AD660">
            <v>1</v>
          </cell>
          <cell r="AE660">
            <v>1</v>
          </cell>
          <cell r="AF660">
            <v>1</v>
          </cell>
          <cell r="AG660">
            <v>1</v>
          </cell>
          <cell r="AH660">
            <v>1</v>
          </cell>
          <cell r="AI660">
            <v>1</v>
          </cell>
          <cell r="AJ660">
            <v>1</v>
          </cell>
          <cell r="AK660">
            <v>1</v>
          </cell>
          <cell r="AL660">
            <v>1</v>
          </cell>
          <cell r="AM660">
            <v>1</v>
          </cell>
          <cell r="AN660">
            <v>1</v>
          </cell>
          <cell r="AO660">
            <v>1</v>
          </cell>
          <cell r="AP660">
            <v>1</v>
          </cell>
          <cell r="AQ660">
            <v>0</v>
          </cell>
          <cell r="AR660">
            <v>0</v>
          </cell>
          <cell r="AS660">
            <v>0</v>
          </cell>
          <cell r="AT660">
            <v>0</v>
          </cell>
        </row>
        <row r="662">
          <cell r="A662" t="str">
            <v>x</v>
          </cell>
          <cell r="B662">
            <v>8</v>
          </cell>
          <cell r="E662" t="str">
            <v>SG&amp;A</v>
          </cell>
          <cell r="I662">
            <v>2013</v>
          </cell>
          <cell r="J662">
            <v>2014</v>
          </cell>
          <cell r="K662">
            <v>2015</v>
          </cell>
          <cell r="L662">
            <v>2016</v>
          </cell>
          <cell r="M662">
            <v>2017</v>
          </cell>
          <cell r="N662">
            <v>2018</v>
          </cell>
          <cell r="O662">
            <v>2019</v>
          </cell>
          <cell r="P662">
            <v>2020</v>
          </cell>
          <cell r="Q662">
            <v>2021</v>
          </cell>
          <cell r="R662">
            <v>2022</v>
          </cell>
          <cell r="S662">
            <v>2023</v>
          </cell>
          <cell r="T662">
            <v>2024</v>
          </cell>
          <cell r="U662">
            <v>2025</v>
          </cell>
          <cell r="V662">
            <v>2026</v>
          </cell>
          <cell r="W662">
            <v>2027</v>
          </cell>
          <cell r="X662">
            <v>2028</v>
          </cell>
          <cell r="Y662">
            <v>2029</v>
          </cell>
          <cell r="Z662">
            <v>2030</v>
          </cell>
          <cell r="AA662">
            <v>2031</v>
          </cell>
          <cell r="AB662">
            <v>2032</v>
          </cell>
          <cell r="AC662">
            <v>2033</v>
          </cell>
          <cell r="AD662">
            <v>2034</v>
          </cell>
          <cell r="AE662">
            <v>2035</v>
          </cell>
          <cell r="AF662">
            <v>2036</v>
          </cell>
          <cell r="AG662">
            <v>2037</v>
          </cell>
          <cell r="AH662">
            <v>2038</v>
          </cell>
          <cell r="AI662">
            <v>2039</v>
          </cell>
          <cell r="AJ662">
            <v>2040</v>
          </cell>
          <cell r="AK662">
            <v>2041</v>
          </cell>
          <cell r="AL662">
            <v>2042</v>
          </cell>
          <cell r="AM662">
            <v>2043</v>
          </cell>
          <cell r="AN662">
            <v>2044</v>
          </cell>
          <cell r="AO662">
            <v>2045</v>
          </cell>
          <cell r="AP662">
            <v>2046</v>
          </cell>
          <cell r="AQ662">
            <v>2047</v>
          </cell>
          <cell r="AR662">
            <v>2048</v>
          </cell>
          <cell r="AS662">
            <v>2049</v>
          </cell>
          <cell r="AT662">
            <v>2050</v>
          </cell>
        </row>
        <row r="664">
          <cell r="E664" t="str">
            <v>SG&amp;A</v>
          </cell>
          <cell r="F664" t="str">
            <v>[R$ '000]</v>
          </cell>
          <cell r="I664">
            <v>-7223.4495816842673</v>
          </cell>
          <cell r="J664">
            <v>-7162.4821047380383</v>
          </cell>
          <cell r="K664">
            <v>-6672</v>
          </cell>
          <cell r="L664">
            <v>-9731</v>
          </cell>
          <cell r="M664">
            <v>-9961.2076699999998</v>
          </cell>
          <cell r="N664">
            <v>-9961.2076699999998</v>
          </cell>
          <cell r="O664">
            <v>-9961.2076699999998</v>
          </cell>
          <cell r="P664">
            <v>-9961.2076699999998</v>
          </cell>
          <cell r="Q664">
            <v>-9961.2076699999998</v>
          </cell>
          <cell r="R664">
            <v>-9961.2076699999998</v>
          </cell>
          <cell r="S664">
            <v>-9961.2076699999998</v>
          </cell>
          <cell r="T664">
            <v>-9961.2076699999998</v>
          </cell>
          <cell r="U664">
            <v>-9961.2076699999998</v>
          </cell>
          <cell r="V664">
            <v>-9961.2076699999998</v>
          </cell>
          <cell r="W664">
            <v>-9961.2076699999998</v>
          </cell>
          <cell r="X664">
            <v>-9961.2076699999998</v>
          </cell>
          <cell r="Y664">
            <v>-9961.2076699999998</v>
          </cell>
          <cell r="Z664">
            <v>-9961.2076699999998</v>
          </cell>
          <cell r="AA664">
            <v>-9961.2076699999998</v>
          </cell>
          <cell r="AB664">
            <v>-9961.2076699999998</v>
          </cell>
          <cell r="AC664">
            <v>-9961.2076699999998</v>
          </cell>
          <cell r="AD664">
            <v>-9961.2076699999998</v>
          </cell>
          <cell r="AE664">
            <v>-9961.2076699999998</v>
          </cell>
          <cell r="AF664">
            <v>-9961.2076699999998</v>
          </cell>
          <cell r="AG664">
            <v>-9961.2076699999998</v>
          </cell>
          <cell r="AH664">
            <v>-9961.2076699999998</v>
          </cell>
          <cell r="AI664">
            <v>-9961.2076699999998</v>
          </cell>
          <cell r="AJ664">
            <v>-9961.2076699999998</v>
          </cell>
          <cell r="AK664">
            <v>-9961.2076699999998</v>
          </cell>
          <cell r="AL664">
            <v>-9961.2076699999998</v>
          </cell>
          <cell r="AM664">
            <v>-9961.2076699999998</v>
          </cell>
          <cell r="AN664">
            <v>-9961.2076699999998</v>
          </cell>
          <cell r="AO664">
            <v>-9961.2076699999998</v>
          </cell>
          <cell r="AP664">
            <v>-9961.2076699999998</v>
          </cell>
          <cell r="AQ664">
            <v>0</v>
          </cell>
          <cell r="AR664">
            <v>0</v>
          </cell>
          <cell r="AS664">
            <v>0</v>
          </cell>
          <cell r="AT664">
            <v>0</v>
          </cell>
        </row>
        <row r="665">
          <cell r="E665" t="str">
            <v>Growh</v>
          </cell>
          <cell r="F665" t="str">
            <v>[%]</v>
          </cell>
          <cell r="I665" t="str">
            <v>n.a.</v>
          </cell>
          <cell r="J665">
            <v>-8.4402163061839675E-3</v>
          </cell>
          <cell r="K665">
            <v>-6.8479348020092146E-2</v>
          </cell>
          <cell r="L665">
            <v>0.45848321342925669</v>
          </cell>
          <cell r="M665">
            <v>2.3657144178398815E-2</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-1</v>
          </cell>
          <cell r="AR665" t="str">
            <v>n.a.</v>
          </cell>
          <cell r="AS665" t="str">
            <v>n.a.</v>
          </cell>
          <cell r="AT665" t="str">
            <v>n.a.</v>
          </cell>
        </row>
        <row r="667">
          <cell r="E667" t="str">
            <v>Production cost (Ex-Freight cots)</v>
          </cell>
          <cell r="F667" t="str">
            <v>[R$/t]</v>
          </cell>
          <cell r="I667">
            <v>27.278589089037194</v>
          </cell>
          <cell r="J667">
            <v>27.028795612184172</v>
          </cell>
          <cell r="K667">
            <v>27.760546551220287</v>
          </cell>
          <cell r="L667">
            <v>33.607125047779903</v>
          </cell>
          <cell r="M667">
            <v>35.692892996205288</v>
          </cell>
          <cell r="N667">
            <v>33.82599877652153</v>
          </cell>
          <cell r="O667">
            <v>33.825998776521523</v>
          </cell>
          <cell r="P667">
            <v>28.680681360894603</v>
          </cell>
          <cell r="Q667">
            <v>28.680681360894599</v>
          </cell>
          <cell r="R667">
            <v>28.679404610588353</v>
          </cell>
          <cell r="S667">
            <v>28.679404610588353</v>
          </cell>
          <cell r="T667">
            <v>28.679404610588353</v>
          </cell>
          <cell r="U667">
            <v>28.679404610588353</v>
          </cell>
          <cell r="V667">
            <v>28.679404610588353</v>
          </cell>
          <cell r="W667">
            <v>28.679404610588353</v>
          </cell>
          <cell r="X667">
            <v>22.254484169442744</v>
          </cell>
          <cell r="Y667">
            <v>22.255679554321993</v>
          </cell>
          <cell r="Z667">
            <v>22.255679554321993</v>
          </cell>
          <cell r="AA667">
            <v>22.255679554321993</v>
          </cell>
          <cell r="AB667">
            <v>22.255679554321993</v>
          </cell>
          <cell r="AC667">
            <v>22.255679554321993</v>
          </cell>
          <cell r="AD667">
            <v>22.255679554321993</v>
          </cell>
          <cell r="AE667">
            <v>22.255679554321993</v>
          </cell>
          <cell r="AF667">
            <v>22.255679554321993</v>
          </cell>
          <cell r="AG667">
            <v>22.255679554321993</v>
          </cell>
          <cell r="AH667">
            <v>22.255679554322008</v>
          </cell>
          <cell r="AI667">
            <v>22.255679554321993</v>
          </cell>
          <cell r="AJ667">
            <v>24.526219027244796</v>
          </cell>
          <cell r="AK667">
            <v>26.706074511230266</v>
          </cell>
          <cell r="AL667">
            <v>26.706074511230256</v>
          </cell>
          <cell r="AM667">
            <v>26.706074511230256</v>
          </cell>
          <cell r="AN667">
            <v>26.706074511230263</v>
          </cell>
          <cell r="AO667">
            <v>26.706074511230259</v>
          </cell>
          <cell r="AP667">
            <v>31.133751871839895</v>
          </cell>
          <cell r="AQ667" t="str">
            <v>n.a.</v>
          </cell>
          <cell r="AR667" t="str">
            <v>n.a.</v>
          </cell>
          <cell r="AS667" t="str">
            <v>n.a.</v>
          </cell>
          <cell r="AT667" t="str">
            <v>n.a.</v>
          </cell>
        </row>
        <row r="668">
          <cell r="E668" t="str">
            <v>Production cost (Ex-Freight cots)</v>
          </cell>
          <cell r="F668" t="str">
            <v>[US$/t]</v>
          </cell>
          <cell r="I668">
            <v>12.626009844573209</v>
          </cell>
          <cell r="J668">
            <v>11.474596314917347</v>
          </cell>
          <cell r="K668">
            <v>8.1889517850207341</v>
          </cell>
          <cell r="L668">
            <v>9.7732024128420285</v>
          </cell>
          <cell r="M668">
            <v>11.233987954691123</v>
          </cell>
          <cell r="N668">
            <v>10.437322336692581</v>
          </cell>
          <cell r="O668">
            <v>10.432768452964007</v>
          </cell>
          <cell r="P668">
            <v>8.8932439076707226</v>
          </cell>
          <cell r="Q668">
            <v>8.862096351006139</v>
          </cell>
          <cell r="R668">
            <v>8.8617018455866994</v>
          </cell>
          <cell r="S668">
            <v>8.8617018455866994</v>
          </cell>
          <cell r="T668">
            <v>8.8617018455866994</v>
          </cell>
          <cell r="U668">
            <v>8.8617018455866994</v>
          </cell>
          <cell r="V668">
            <v>8.8617018455866994</v>
          </cell>
          <cell r="W668">
            <v>8.8617018455866994</v>
          </cell>
          <cell r="X668">
            <v>6.8764538913796152</v>
          </cell>
          <cell r="Y668">
            <v>6.8768232555464968</v>
          </cell>
          <cell r="Z668">
            <v>6.8768232555464968</v>
          </cell>
          <cell r="AA668">
            <v>6.8768232555464968</v>
          </cell>
          <cell r="AB668">
            <v>6.8768232555464968</v>
          </cell>
          <cell r="AC668">
            <v>6.8768232555464968</v>
          </cell>
          <cell r="AD668">
            <v>6.8768232555464968</v>
          </cell>
          <cell r="AE668">
            <v>6.8768232555464968</v>
          </cell>
          <cell r="AF668">
            <v>6.8768232555464976</v>
          </cell>
          <cell r="AG668">
            <v>6.8768232555464968</v>
          </cell>
          <cell r="AH668">
            <v>6.8768232555465012</v>
          </cell>
          <cell r="AI668">
            <v>6.8768232555464968</v>
          </cell>
          <cell r="AJ668">
            <v>7.578401412794884</v>
          </cell>
          <cell r="AK668">
            <v>8.2519589579335459</v>
          </cell>
          <cell r="AL668">
            <v>8.2519589579335424</v>
          </cell>
          <cell r="AM668">
            <v>8.2519589579335424</v>
          </cell>
          <cell r="AN668">
            <v>8.2519589579335459</v>
          </cell>
          <cell r="AO668">
            <v>8.2519589579335459</v>
          </cell>
          <cell r="AP668">
            <v>9.620075108562796</v>
          </cell>
          <cell r="AQ668" t="str">
            <v>n.a.</v>
          </cell>
          <cell r="AR668" t="str">
            <v>n.a.</v>
          </cell>
          <cell r="AS668" t="str">
            <v>n.a.</v>
          </cell>
          <cell r="AT668" t="str">
            <v>n.a.</v>
          </cell>
        </row>
        <row r="671">
          <cell r="E671" t="str">
            <v>Cost structure from 2016 onwards</v>
          </cell>
        </row>
        <row r="673">
          <cell r="E673" t="str">
            <v>Sales and marketing</v>
          </cell>
          <cell r="F673" t="str">
            <v>[R$ '000]</v>
          </cell>
          <cell r="I673">
            <v>-1560.8257575757575</v>
          </cell>
          <cell r="J673">
            <v>-1175.0265151515152</v>
          </cell>
          <cell r="K673">
            <v>-1253</v>
          </cell>
          <cell r="L673">
            <v>-1974</v>
          </cell>
          <cell r="M673">
            <v>-1974</v>
          </cell>
          <cell r="N673">
            <v>-1974</v>
          </cell>
          <cell r="O673">
            <v>-1974</v>
          </cell>
          <cell r="P673">
            <v>-1974</v>
          </cell>
          <cell r="Q673">
            <v>-1974</v>
          </cell>
          <cell r="R673">
            <v>-1974</v>
          </cell>
          <cell r="S673">
            <v>-1974</v>
          </cell>
          <cell r="T673">
            <v>-1974</v>
          </cell>
          <cell r="U673">
            <v>-1974</v>
          </cell>
          <cell r="V673">
            <v>-1974</v>
          </cell>
          <cell r="W673">
            <v>-1974</v>
          </cell>
          <cell r="X673">
            <v>-1974</v>
          </cell>
          <cell r="Y673">
            <v>-1974</v>
          </cell>
          <cell r="Z673">
            <v>-1974</v>
          </cell>
          <cell r="AA673">
            <v>-1974</v>
          </cell>
          <cell r="AB673">
            <v>-1974</v>
          </cell>
          <cell r="AC673">
            <v>-1974</v>
          </cell>
          <cell r="AD673">
            <v>-1974</v>
          </cell>
          <cell r="AE673">
            <v>-1974</v>
          </cell>
          <cell r="AF673">
            <v>-1974</v>
          </cell>
          <cell r="AG673">
            <v>-1974</v>
          </cell>
          <cell r="AH673">
            <v>-1974</v>
          </cell>
          <cell r="AI673">
            <v>-1974</v>
          </cell>
          <cell r="AJ673">
            <v>-1974</v>
          </cell>
          <cell r="AK673">
            <v>-1974</v>
          </cell>
          <cell r="AL673">
            <v>-1974</v>
          </cell>
          <cell r="AM673">
            <v>-1974</v>
          </cell>
          <cell r="AN673">
            <v>-1974</v>
          </cell>
          <cell r="AO673">
            <v>-1974</v>
          </cell>
          <cell r="AP673">
            <v>-1974</v>
          </cell>
          <cell r="AQ673">
            <v>0</v>
          </cell>
          <cell r="AR673">
            <v>0</v>
          </cell>
          <cell r="AS673">
            <v>0</v>
          </cell>
          <cell r="AT673">
            <v>0</v>
          </cell>
        </row>
        <row r="674">
          <cell r="E674" t="str">
            <v>IT</v>
          </cell>
          <cell r="F674" t="str">
            <v>[R$ '000]</v>
          </cell>
          <cell r="I674">
            <v>-2125.4432290527238</v>
          </cell>
          <cell r="J674">
            <v>-2247.3675344563553</v>
          </cell>
          <cell r="K674">
            <v>-2034</v>
          </cell>
          <cell r="L674">
            <v>-2208</v>
          </cell>
          <cell r="M674">
            <v>-2437.6869999999999</v>
          </cell>
          <cell r="N674">
            <v>-2437.6869999999999</v>
          </cell>
          <cell r="O674">
            <v>-2437.6869999999999</v>
          </cell>
          <cell r="P674">
            <v>-2437.6869999999999</v>
          </cell>
          <cell r="Q674">
            <v>-2437.6869999999999</v>
          </cell>
          <cell r="R674">
            <v>-2437.6869999999999</v>
          </cell>
          <cell r="S674">
            <v>-2437.6869999999999</v>
          </cell>
          <cell r="T674">
            <v>-2437.6869999999999</v>
          </cell>
          <cell r="U674">
            <v>-2437.6869999999999</v>
          </cell>
          <cell r="V674">
            <v>-2437.6869999999999</v>
          </cell>
          <cell r="W674">
            <v>-2437.6869999999999</v>
          </cell>
          <cell r="X674">
            <v>-2437.6869999999999</v>
          </cell>
          <cell r="Y674">
            <v>-2437.6869999999999</v>
          </cell>
          <cell r="Z674">
            <v>-2437.6869999999999</v>
          </cell>
          <cell r="AA674">
            <v>-2437.6869999999999</v>
          </cell>
          <cell r="AB674">
            <v>-2437.6869999999999</v>
          </cell>
          <cell r="AC674">
            <v>-2437.6869999999999</v>
          </cell>
          <cell r="AD674">
            <v>-2437.6869999999999</v>
          </cell>
          <cell r="AE674">
            <v>-2437.6869999999999</v>
          </cell>
          <cell r="AF674">
            <v>-2437.6869999999999</v>
          </cell>
          <cell r="AG674">
            <v>-2437.6869999999999</v>
          </cell>
          <cell r="AH674">
            <v>-2437.6869999999999</v>
          </cell>
          <cell r="AI674">
            <v>-2437.6869999999999</v>
          </cell>
          <cell r="AJ674">
            <v>-2437.6869999999999</v>
          </cell>
          <cell r="AK674">
            <v>-2437.6869999999999</v>
          </cell>
          <cell r="AL674">
            <v>-2437.6869999999999</v>
          </cell>
          <cell r="AM674">
            <v>-2437.6869999999999</v>
          </cell>
          <cell r="AN674">
            <v>-2437.6869999999999</v>
          </cell>
          <cell r="AO674">
            <v>-2437.6869999999999</v>
          </cell>
          <cell r="AP674">
            <v>-2437.6869999999999</v>
          </cell>
          <cell r="AQ674">
            <v>0</v>
          </cell>
          <cell r="AR674">
            <v>0</v>
          </cell>
          <cell r="AS674">
            <v>0</v>
          </cell>
          <cell r="AT674">
            <v>0</v>
          </cell>
        </row>
        <row r="675">
          <cell r="E675" t="str">
            <v>HR</v>
          </cell>
          <cell r="F675" t="str">
            <v>[R$ '000]</v>
          </cell>
          <cell r="I675">
            <v>-1019.8783635965872</v>
          </cell>
          <cell r="J675">
            <v>-1078.3828483920367</v>
          </cell>
          <cell r="K675">
            <v>-976</v>
          </cell>
          <cell r="L675">
            <v>-1233</v>
          </cell>
          <cell r="M675">
            <v>-1193.5933500000001</v>
          </cell>
          <cell r="N675">
            <v>-1193.5933500000001</v>
          </cell>
          <cell r="O675">
            <v>-1193.5933500000001</v>
          </cell>
          <cell r="P675">
            <v>-1193.5933500000001</v>
          </cell>
          <cell r="Q675">
            <v>-1193.5933500000001</v>
          </cell>
          <cell r="R675">
            <v>-1193.5933500000001</v>
          </cell>
          <cell r="S675">
            <v>-1193.5933500000001</v>
          </cell>
          <cell r="T675">
            <v>-1193.5933500000001</v>
          </cell>
          <cell r="U675">
            <v>-1193.5933500000001</v>
          </cell>
          <cell r="V675">
            <v>-1193.5933500000001</v>
          </cell>
          <cell r="W675">
            <v>-1193.5933500000001</v>
          </cell>
          <cell r="X675">
            <v>-1193.5933500000001</v>
          </cell>
          <cell r="Y675">
            <v>-1193.5933500000001</v>
          </cell>
          <cell r="Z675">
            <v>-1193.5933500000001</v>
          </cell>
          <cell r="AA675">
            <v>-1193.5933500000001</v>
          </cell>
          <cell r="AB675">
            <v>-1193.5933500000001</v>
          </cell>
          <cell r="AC675">
            <v>-1193.5933500000001</v>
          </cell>
          <cell r="AD675">
            <v>-1193.5933500000001</v>
          </cell>
          <cell r="AE675">
            <v>-1193.5933500000001</v>
          </cell>
          <cell r="AF675">
            <v>-1193.5933500000001</v>
          </cell>
          <cell r="AG675">
            <v>-1193.5933500000001</v>
          </cell>
          <cell r="AH675">
            <v>-1193.5933500000001</v>
          </cell>
          <cell r="AI675">
            <v>-1193.5933500000001</v>
          </cell>
          <cell r="AJ675">
            <v>-1193.5933500000001</v>
          </cell>
          <cell r="AK675">
            <v>-1193.5933500000001</v>
          </cell>
          <cell r="AL675">
            <v>-1193.5933500000001</v>
          </cell>
          <cell r="AM675">
            <v>-1193.5933500000001</v>
          </cell>
          <cell r="AN675">
            <v>-1193.5933500000001</v>
          </cell>
          <cell r="AO675">
            <v>-1193.5933500000001</v>
          </cell>
          <cell r="AP675">
            <v>-1193.5933500000001</v>
          </cell>
          <cell r="AQ675">
            <v>0</v>
          </cell>
          <cell r="AR675">
            <v>0</v>
          </cell>
          <cell r="AS675">
            <v>0</v>
          </cell>
          <cell r="AT675">
            <v>0</v>
          </cell>
        </row>
        <row r="676">
          <cell r="E676" t="str">
            <v>Finance</v>
          </cell>
          <cell r="F676" t="str">
            <v>[R$ '000]</v>
          </cell>
          <cell r="I676">
            <v>-1164.0824764821703</v>
          </cell>
          <cell r="J676">
            <v>-1230.8591117917306</v>
          </cell>
          <cell r="K676">
            <v>-1114</v>
          </cell>
          <cell r="L676">
            <v>-1295</v>
          </cell>
          <cell r="M676">
            <v>-1295</v>
          </cell>
          <cell r="N676">
            <v>-1295</v>
          </cell>
          <cell r="O676">
            <v>-1295</v>
          </cell>
          <cell r="P676">
            <v>-1295</v>
          </cell>
          <cell r="Q676">
            <v>-1295</v>
          </cell>
          <cell r="R676">
            <v>-1295</v>
          </cell>
          <cell r="S676">
            <v>-1295</v>
          </cell>
          <cell r="T676">
            <v>-1295</v>
          </cell>
          <cell r="U676">
            <v>-1295</v>
          </cell>
          <cell r="V676">
            <v>-1295</v>
          </cell>
          <cell r="W676">
            <v>-1295</v>
          </cell>
          <cell r="X676">
            <v>-1295</v>
          </cell>
          <cell r="Y676">
            <v>-1295</v>
          </cell>
          <cell r="Z676">
            <v>-1295</v>
          </cell>
          <cell r="AA676">
            <v>-1295</v>
          </cell>
          <cell r="AB676">
            <v>-1295</v>
          </cell>
          <cell r="AC676">
            <v>-1295</v>
          </cell>
          <cell r="AD676">
            <v>-1295</v>
          </cell>
          <cell r="AE676">
            <v>-1295</v>
          </cell>
          <cell r="AF676">
            <v>-1295</v>
          </cell>
          <cell r="AG676">
            <v>-1295</v>
          </cell>
          <cell r="AH676">
            <v>-1295</v>
          </cell>
          <cell r="AI676">
            <v>-1295</v>
          </cell>
          <cell r="AJ676">
            <v>-1295</v>
          </cell>
          <cell r="AK676">
            <v>-1295</v>
          </cell>
          <cell r="AL676">
            <v>-1295</v>
          </cell>
          <cell r="AM676">
            <v>-1295</v>
          </cell>
          <cell r="AN676">
            <v>-1295</v>
          </cell>
          <cell r="AO676">
            <v>-1295</v>
          </cell>
          <cell r="AP676">
            <v>-1295</v>
          </cell>
          <cell r="AQ676">
            <v>0</v>
          </cell>
          <cell r="AR676">
            <v>0</v>
          </cell>
          <cell r="AS676">
            <v>0</v>
          </cell>
          <cell r="AT676">
            <v>0</v>
          </cell>
        </row>
        <row r="677">
          <cell r="E677" t="str">
            <v>Executive Management</v>
          </cell>
          <cell r="F677" t="str">
            <v>[R$ '000]</v>
          </cell>
          <cell r="I677">
            <v>-3425.3701597024719</v>
          </cell>
          <cell r="J677">
            <v>-3621.8637059724347</v>
          </cell>
          <cell r="K677">
            <v>-3278</v>
          </cell>
          <cell r="L677">
            <v>-1963</v>
          </cell>
          <cell r="M677">
            <v>-2002.9273199999998</v>
          </cell>
          <cell r="N677">
            <v>-2002.9273199999998</v>
          </cell>
          <cell r="O677">
            <v>-2002.9273199999998</v>
          </cell>
          <cell r="P677">
            <v>-2002.9273199999998</v>
          </cell>
          <cell r="Q677">
            <v>-2002.9273199999998</v>
          </cell>
          <cell r="R677">
            <v>-2002.9273199999998</v>
          </cell>
          <cell r="S677">
            <v>-2002.9273199999998</v>
          </cell>
          <cell r="T677">
            <v>-2002.9273199999998</v>
          </cell>
          <cell r="U677">
            <v>-2002.9273199999998</v>
          </cell>
          <cell r="V677">
            <v>-2002.9273199999998</v>
          </cell>
          <cell r="W677">
            <v>-2002.9273199999998</v>
          </cell>
          <cell r="X677">
            <v>-2002.9273199999998</v>
          </cell>
          <cell r="Y677">
            <v>-2002.9273199999998</v>
          </cell>
          <cell r="Z677">
            <v>-2002.9273199999998</v>
          </cell>
          <cell r="AA677">
            <v>-2002.9273199999998</v>
          </cell>
          <cell r="AB677">
            <v>-2002.9273199999998</v>
          </cell>
          <cell r="AC677">
            <v>-2002.9273199999998</v>
          </cell>
          <cell r="AD677">
            <v>-2002.9273199999998</v>
          </cell>
          <cell r="AE677">
            <v>-2002.9273199999998</v>
          </cell>
          <cell r="AF677">
            <v>-2002.9273199999998</v>
          </cell>
          <cell r="AG677">
            <v>-2002.9273199999998</v>
          </cell>
          <cell r="AH677">
            <v>-2002.9273199999998</v>
          </cell>
          <cell r="AI677">
            <v>-2002.9273199999998</v>
          </cell>
          <cell r="AJ677">
            <v>-2002.9273199999998</v>
          </cell>
          <cell r="AK677">
            <v>-2002.9273199999998</v>
          </cell>
          <cell r="AL677">
            <v>-2002.9273199999998</v>
          </cell>
          <cell r="AM677">
            <v>-2002.9273199999998</v>
          </cell>
          <cell r="AN677">
            <v>-2002.9273199999998</v>
          </cell>
          <cell r="AO677">
            <v>-2002.9273199999998</v>
          </cell>
          <cell r="AP677">
            <v>-2002.9273199999998</v>
          </cell>
          <cell r="AQ677">
            <v>0</v>
          </cell>
          <cell r="AR677">
            <v>0</v>
          </cell>
          <cell r="AS677">
            <v>0</v>
          </cell>
          <cell r="AT677">
            <v>0</v>
          </cell>
        </row>
        <row r="678">
          <cell r="E678" t="str">
            <v>General Business Expenses</v>
          </cell>
          <cell r="F678" t="str">
            <v>[R$ '000]</v>
          </cell>
          <cell r="I678">
            <v>2072.150404725443</v>
          </cell>
          <cell r="J678">
            <v>2191.0176110260336</v>
          </cell>
          <cell r="K678">
            <v>1983</v>
          </cell>
          <cell r="L678">
            <v>-1058</v>
          </cell>
          <cell r="M678">
            <v>-1058</v>
          </cell>
          <cell r="N678">
            <v>-1058</v>
          </cell>
          <cell r="O678">
            <v>-1058</v>
          </cell>
          <cell r="P678">
            <v>-1058</v>
          </cell>
          <cell r="Q678">
            <v>-1058</v>
          </cell>
          <cell r="R678">
            <v>-1058</v>
          </cell>
          <cell r="S678">
            <v>-1058</v>
          </cell>
          <cell r="T678">
            <v>-1058</v>
          </cell>
          <cell r="U678">
            <v>-1058</v>
          </cell>
          <cell r="V678">
            <v>-1058</v>
          </cell>
          <cell r="W678">
            <v>-1058</v>
          </cell>
          <cell r="X678">
            <v>-1058</v>
          </cell>
          <cell r="Y678">
            <v>-1058</v>
          </cell>
          <cell r="Z678">
            <v>-1058</v>
          </cell>
          <cell r="AA678">
            <v>-1058</v>
          </cell>
          <cell r="AB678">
            <v>-1058</v>
          </cell>
          <cell r="AC678">
            <v>-1058</v>
          </cell>
          <cell r="AD678">
            <v>-1058</v>
          </cell>
          <cell r="AE678">
            <v>-1058</v>
          </cell>
          <cell r="AF678">
            <v>-1058</v>
          </cell>
          <cell r="AG678">
            <v>-1058</v>
          </cell>
          <cell r="AH678">
            <v>-1058</v>
          </cell>
          <cell r="AI678">
            <v>-1058</v>
          </cell>
          <cell r="AJ678">
            <v>-1058</v>
          </cell>
          <cell r="AK678">
            <v>-1058</v>
          </cell>
          <cell r="AL678">
            <v>-1058</v>
          </cell>
          <cell r="AM678">
            <v>-1058</v>
          </cell>
          <cell r="AN678">
            <v>-1058</v>
          </cell>
          <cell r="AO678">
            <v>-1058</v>
          </cell>
          <cell r="AP678">
            <v>-1058</v>
          </cell>
          <cell r="AQ678">
            <v>0</v>
          </cell>
          <cell r="AR678">
            <v>0</v>
          </cell>
          <cell r="AS678">
            <v>0</v>
          </cell>
          <cell r="AT678">
            <v>0</v>
          </cell>
        </row>
        <row r="680">
          <cell r="E680" t="str">
            <v>Cost structure from 2016 onwards</v>
          </cell>
        </row>
        <row r="682">
          <cell r="E682" t="str">
            <v>Others operating income and expenses</v>
          </cell>
          <cell r="F682" t="str">
            <v>[R$ '000]</v>
          </cell>
          <cell r="I682">
            <v>-4329</v>
          </cell>
          <cell r="J682">
            <v>-922</v>
          </cell>
          <cell r="K682">
            <v>5289</v>
          </cell>
          <cell r="L682">
            <v>2802</v>
          </cell>
          <cell r="M682">
            <v>2801.9999999999995</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row>
        <row r="684">
          <cell r="E684" t="str">
            <v>AUX:</v>
          </cell>
        </row>
        <row r="685">
          <cell r="E685" t="str">
            <v>Mine in operation</v>
          </cell>
          <cell r="F685" t="str">
            <v>[1/0]</v>
          </cell>
          <cell r="I685">
            <v>1</v>
          </cell>
          <cell r="J685">
            <v>1</v>
          </cell>
          <cell r="K685">
            <v>1</v>
          </cell>
          <cell r="L685">
            <v>1</v>
          </cell>
          <cell r="M685">
            <v>1</v>
          </cell>
          <cell r="N685">
            <v>1</v>
          </cell>
          <cell r="O685">
            <v>1</v>
          </cell>
          <cell r="P685">
            <v>1</v>
          </cell>
          <cell r="Q685">
            <v>1</v>
          </cell>
          <cell r="R685">
            <v>1</v>
          </cell>
          <cell r="S685">
            <v>1</v>
          </cell>
          <cell r="T685">
            <v>1</v>
          </cell>
          <cell r="U685">
            <v>1</v>
          </cell>
          <cell r="V685">
            <v>1</v>
          </cell>
          <cell r="W685">
            <v>1</v>
          </cell>
          <cell r="X685">
            <v>1</v>
          </cell>
          <cell r="Y685">
            <v>1</v>
          </cell>
          <cell r="Z685">
            <v>1</v>
          </cell>
          <cell r="AA685">
            <v>1</v>
          </cell>
          <cell r="AB685">
            <v>1</v>
          </cell>
          <cell r="AC685">
            <v>1</v>
          </cell>
          <cell r="AD685">
            <v>1</v>
          </cell>
          <cell r="AE685">
            <v>1</v>
          </cell>
          <cell r="AF685">
            <v>1</v>
          </cell>
          <cell r="AG685">
            <v>1</v>
          </cell>
          <cell r="AH685">
            <v>1</v>
          </cell>
          <cell r="AI685">
            <v>1</v>
          </cell>
          <cell r="AJ685">
            <v>1</v>
          </cell>
          <cell r="AK685">
            <v>1</v>
          </cell>
          <cell r="AL685">
            <v>1</v>
          </cell>
          <cell r="AM685">
            <v>1</v>
          </cell>
          <cell r="AN685">
            <v>1</v>
          </cell>
          <cell r="AO685">
            <v>1</v>
          </cell>
          <cell r="AP685">
            <v>1</v>
          </cell>
          <cell r="AQ685">
            <v>0</v>
          </cell>
          <cell r="AR685">
            <v>0</v>
          </cell>
          <cell r="AS685">
            <v>0</v>
          </cell>
          <cell r="AT685">
            <v>0</v>
          </cell>
        </row>
        <row r="687">
          <cell r="A687" t="str">
            <v>x</v>
          </cell>
          <cell r="B687">
            <v>9</v>
          </cell>
          <cell r="E687" t="str">
            <v>Working Capital</v>
          </cell>
          <cell r="I687">
            <v>2013</v>
          </cell>
          <cell r="J687">
            <v>2014</v>
          </cell>
          <cell r="K687">
            <v>2015</v>
          </cell>
          <cell r="L687">
            <v>2016</v>
          </cell>
          <cell r="M687">
            <v>2017</v>
          </cell>
          <cell r="N687">
            <v>2018</v>
          </cell>
          <cell r="O687">
            <v>2019</v>
          </cell>
          <cell r="P687">
            <v>2020</v>
          </cell>
          <cell r="Q687">
            <v>2021</v>
          </cell>
          <cell r="R687">
            <v>2022</v>
          </cell>
          <cell r="S687">
            <v>2023</v>
          </cell>
          <cell r="T687">
            <v>2024</v>
          </cell>
          <cell r="U687">
            <v>2025</v>
          </cell>
          <cell r="V687">
            <v>2026</v>
          </cell>
          <cell r="W687">
            <v>2027</v>
          </cell>
          <cell r="X687">
            <v>2028</v>
          </cell>
          <cell r="Y687">
            <v>2029</v>
          </cell>
          <cell r="Z687">
            <v>2030</v>
          </cell>
          <cell r="AA687">
            <v>2031</v>
          </cell>
          <cell r="AB687">
            <v>2032</v>
          </cell>
          <cell r="AC687">
            <v>2033</v>
          </cell>
          <cell r="AD687">
            <v>2034</v>
          </cell>
          <cell r="AE687">
            <v>2035</v>
          </cell>
          <cell r="AF687">
            <v>2036</v>
          </cell>
          <cell r="AG687">
            <v>2037</v>
          </cell>
          <cell r="AH687">
            <v>2038</v>
          </cell>
          <cell r="AI687">
            <v>2039</v>
          </cell>
          <cell r="AJ687">
            <v>2040</v>
          </cell>
          <cell r="AK687">
            <v>2041</v>
          </cell>
          <cell r="AL687">
            <v>2042</v>
          </cell>
          <cell r="AM687">
            <v>2043</v>
          </cell>
          <cell r="AN687">
            <v>2044</v>
          </cell>
          <cell r="AO687">
            <v>2045</v>
          </cell>
          <cell r="AP687">
            <v>2046</v>
          </cell>
          <cell r="AQ687">
            <v>2047</v>
          </cell>
          <cell r="AR687">
            <v>2048</v>
          </cell>
          <cell r="AS687">
            <v>2049</v>
          </cell>
          <cell r="AT687">
            <v>2050</v>
          </cell>
        </row>
        <row r="689">
          <cell r="E689" t="str">
            <v>Working Capital</v>
          </cell>
          <cell r="F689" t="str">
            <v>[R$ '000]</v>
          </cell>
          <cell r="I689">
            <v>49363</v>
          </cell>
          <cell r="J689">
            <v>17896</v>
          </cell>
          <cell r="K689">
            <v>77107</v>
          </cell>
          <cell r="L689">
            <v>44489</v>
          </cell>
          <cell r="M689">
            <v>39150.802283183053</v>
          </cell>
          <cell r="N689">
            <v>40748.292831364633</v>
          </cell>
          <cell r="O689">
            <v>49304.685092414213</v>
          </cell>
          <cell r="P689">
            <v>113215.68998964052</v>
          </cell>
          <cell r="Q689">
            <v>112768.02230084279</v>
          </cell>
          <cell r="R689">
            <v>113045.67723619728</v>
          </cell>
          <cell r="S689">
            <v>113045.67723619728</v>
          </cell>
          <cell r="T689">
            <v>113045.67723619725</v>
          </cell>
          <cell r="U689">
            <v>113045.67723619725</v>
          </cell>
          <cell r="V689">
            <v>113045.67723619728</v>
          </cell>
          <cell r="W689">
            <v>113045.67723619728</v>
          </cell>
          <cell r="X689">
            <v>94442.072417711417</v>
          </cell>
          <cell r="Y689">
            <v>94435.093989110261</v>
          </cell>
          <cell r="Z689">
            <v>94435.093989110261</v>
          </cell>
          <cell r="AA689">
            <v>94435.093989110261</v>
          </cell>
          <cell r="AB689">
            <v>94435.093989110261</v>
          </cell>
          <cell r="AC689">
            <v>94435.093989110261</v>
          </cell>
          <cell r="AD689">
            <v>94435.093989110261</v>
          </cell>
          <cell r="AE689">
            <v>94435.093989110261</v>
          </cell>
          <cell r="AF689">
            <v>94435.093989110261</v>
          </cell>
          <cell r="AG689">
            <v>94435.093989110232</v>
          </cell>
          <cell r="AH689">
            <v>94435.093989110275</v>
          </cell>
          <cell r="AI689">
            <v>94435.093989110261</v>
          </cell>
          <cell r="AJ689">
            <v>95960.82193504399</v>
          </cell>
          <cell r="AK689">
            <v>85733.506995336764</v>
          </cell>
          <cell r="AL689">
            <v>85733.506995336778</v>
          </cell>
          <cell r="AM689">
            <v>85733.506995336778</v>
          </cell>
          <cell r="AN689">
            <v>85733.506995336778</v>
          </cell>
          <cell r="AO689">
            <v>85733.506995336749</v>
          </cell>
          <cell r="AP689">
            <v>62388.675071523336</v>
          </cell>
          <cell r="AQ689">
            <v>0</v>
          </cell>
          <cell r="AR689">
            <v>0</v>
          </cell>
          <cell r="AS689">
            <v>0</v>
          </cell>
          <cell r="AT689">
            <v>0</v>
          </cell>
        </row>
        <row r="690">
          <cell r="E690" t="str">
            <v>Var. Working Capital</v>
          </cell>
          <cell r="J690">
            <v>-31467</v>
          </cell>
          <cell r="K690">
            <v>59211</v>
          </cell>
          <cell r="L690">
            <v>-32618</v>
          </cell>
          <cell r="M690">
            <v>-5338.1977168169469</v>
          </cell>
          <cell r="N690">
            <v>1597.4905481815804</v>
          </cell>
          <cell r="O690">
            <v>8556.3922610495792</v>
          </cell>
          <cell r="P690">
            <v>63911.00489722631</v>
          </cell>
          <cell r="Q690">
            <v>-447.66768879773736</v>
          </cell>
          <cell r="R690">
            <v>277.65493535449787</v>
          </cell>
          <cell r="S690">
            <v>0</v>
          </cell>
          <cell r="T690">
            <v>0</v>
          </cell>
          <cell r="U690">
            <v>0</v>
          </cell>
          <cell r="V690">
            <v>0</v>
          </cell>
          <cell r="W690">
            <v>0</v>
          </cell>
          <cell r="X690">
            <v>-18603.604818485866</v>
          </cell>
          <cell r="Y690">
            <v>-6.9784286011563381</v>
          </cell>
          <cell r="Z690">
            <v>0</v>
          </cell>
          <cell r="AA690">
            <v>0</v>
          </cell>
          <cell r="AB690">
            <v>0</v>
          </cell>
          <cell r="AC690">
            <v>0</v>
          </cell>
          <cell r="AD690">
            <v>0</v>
          </cell>
          <cell r="AE690">
            <v>0</v>
          </cell>
          <cell r="AF690">
            <v>0</v>
          </cell>
          <cell r="AG690">
            <v>0</v>
          </cell>
          <cell r="AH690">
            <v>0</v>
          </cell>
          <cell r="AI690">
            <v>0</v>
          </cell>
          <cell r="AJ690">
            <v>1525.7279459337296</v>
          </cell>
          <cell r="AK690">
            <v>-10227.314939707227</v>
          </cell>
          <cell r="AL690">
            <v>0</v>
          </cell>
          <cell r="AM690">
            <v>0</v>
          </cell>
          <cell r="AN690">
            <v>0</v>
          </cell>
          <cell r="AO690">
            <v>0</v>
          </cell>
          <cell r="AP690">
            <v>-23344.831923813414</v>
          </cell>
          <cell r="AQ690">
            <v>-62388.675071523336</v>
          </cell>
          <cell r="AR690">
            <v>0</v>
          </cell>
          <cell r="AS690">
            <v>0</v>
          </cell>
          <cell r="AT690">
            <v>0</v>
          </cell>
        </row>
        <row r="692">
          <cell r="E692" t="str">
            <v>Assets</v>
          </cell>
          <cell r="F692" t="str">
            <v>[R$ '000]</v>
          </cell>
          <cell r="I692">
            <v>89915</v>
          </cell>
          <cell r="J692">
            <v>53305</v>
          </cell>
          <cell r="K692">
            <v>108426</v>
          </cell>
          <cell r="L692">
            <v>74715</v>
          </cell>
          <cell r="M692">
            <v>72658.703046911556</v>
          </cell>
          <cell r="N692">
            <v>78727.047906750609</v>
          </cell>
          <cell r="O692">
            <v>104870.71993583346</v>
          </cell>
          <cell r="P692">
            <v>240493.05145390442</v>
          </cell>
          <cell r="Q692">
            <v>240268.72903980469</v>
          </cell>
          <cell r="R692">
            <v>240547.40998320919</v>
          </cell>
          <cell r="S692">
            <v>240547.40998320919</v>
          </cell>
          <cell r="T692">
            <v>240547.40998320916</v>
          </cell>
          <cell r="U692">
            <v>240547.40998320916</v>
          </cell>
          <cell r="V692">
            <v>240547.40998320919</v>
          </cell>
          <cell r="W692">
            <v>240547.40998320919</v>
          </cell>
          <cell r="X692">
            <v>199142.83058108436</v>
          </cell>
          <cell r="Y692">
            <v>199134.79107691351</v>
          </cell>
          <cell r="Z692">
            <v>199134.79107691351</v>
          </cell>
          <cell r="AA692">
            <v>199134.79107691351</v>
          </cell>
          <cell r="AB692">
            <v>199134.79107691351</v>
          </cell>
          <cell r="AC692">
            <v>199134.79107691351</v>
          </cell>
          <cell r="AD692">
            <v>199134.79107691351</v>
          </cell>
          <cell r="AE692">
            <v>199134.79107691351</v>
          </cell>
          <cell r="AF692">
            <v>199134.79107691351</v>
          </cell>
          <cell r="AG692">
            <v>199134.79107691348</v>
          </cell>
          <cell r="AH692">
            <v>199134.79107691353</v>
          </cell>
          <cell r="AI692">
            <v>199134.79107691351</v>
          </cell>
          <cell r="AJ692">
            <v>220712.75710512596</v>
          </cell>
          <cell r="AK692">
            <v>210832.41457945871</v>
          </cell>
          <cell r="AL692">
            <v>210832.41457945877</v>
          </cell>
          <cell r="AM692">
            <v>210832.41457945877</v>
          </cell>
          <cell r="AN692">
            <v>210832.41457945877</v>
          </cell>
          <cell r="AO692">
            <v>210832.41457945871</v>
          </cell>
          <cell r="AP692">
            <v>158444.584077123</v>
          </cell>
          <cell r="AQ692">
            <v>0</v>
          </cell>
          <cell r="AR692">
            <v>0</v>
          </cell>
          <cell r="AS692">
            <v>0</v>
          </cell>
          <cell r="AT692">
            <v>0</v>
          </cell>
        </row>
        <row r="694">
          <cell r="E694" t="str">
            <v>Receivables</v>
          </cell>
          <cell r="F694" t="str">
            <v>[R$ '000]</v>
          </cell>
          <cell r="I694">
            <v>78562</v>
          </cell>
          <cell r="J694">
            <v>41376</v>
          </cell>
          <cell r="K694">
            <v>85376</v>
          </cell>
          <cell r="L694">
            <v>49660</v>
          </cell>
          <cell r="M694">
            <v>44883.262908116565</v>
          </cell>
          <cell r="N694">
            <v>47245.617733595194</v>
          </cell>
          <cell r="O694">
            <v>58810.804531814763</v>
          </cell>
          <cell r="P694">
            <v>134990.03115723495</v>
          </cell>
          <cell r="Q694">
            <v>134580.57290453406</v>
          </cell>
          <cell r="R694">
            <v>134858.40336717057</v>
          </cell>
          <cell r="S694">
            <v>134858.40336717057</v>
          </cell>
          <cell r="T694">
            <v>134858.40336717054</v>
          </cell>
          <cell r="U694">
            <v>134858.40336717054</v>
          </cell>
          <cell r="V694">
            <v>134858.40336717057</v>
          </cell>
          <cell r="W694">
            <v>134858.40336717057</v>
          </cell>
          <cell r="X694">
            <v>112354.05615564573</v>
          </cell>
          <cell r="Y694">
            <v>112346.89620048561</v>
          </cell>
          <cell r="Z694">
            <v>112346.89620048561</v>
          </cell>
          <cell r="AA694">
            <v>112346.89620048561</v>
          </cell>
          <cell r="AB694">
            <v>112346.89620048561</v>
          </cell>
          <cell r="AC694">
            <v>112346.89620048561</v>
          </cell>
          <cell r="AD694">
            <v>112346.89620048561</v>
          </cell>
          <cell r="AE694">
            <v>112346.89620048561</v>
          </cell>
          <cell r="AF694">
            <v>112346.89620048561</v>
          </cell>
          <cell r="AG694">
            <v>112346.89620048559</v>
          </cell>
          <cell r="AH694">
            <v>112346.89620048561</v>
          </cell>
          <cell r="AI694">
            <v>112346.89620048561</v>
          </cell>
          <cell r="AJ694">
            <v>117303.11852620701</v>
          </cell>
          <cell r="AK694">
            <v>107135.16289150213</v>
          </cell>
          <cell r="AL694">
            <v>107135.16289150217</v>
          </cell>
          <cell r="AM694">
            <v>107135.16289150217</v>
          </cell>
          <cell r="AN694">
            <v>107135.16289150217</v>
          </cell>
          <cell r="AO694">
            <v>107135.16289150213</v>
          </cell>
          <cell r="AP694">
            <v>78821.716342877669</v>
          </cell>
          <cell r="AQ694">
            <v>0</v>
          </cell>
          <cell r="AR694">
            <v>0</v>
          </cell>
          <cell r="AS694">
            <v>0</v>
          </cell>
          <cell r="AT694">
            <v>0</v>
          </cell>
        </row>
        <row r="695">
          <cell r="E695" t="str">
            <v>Days</v>
          </cell>
          <cell r="F695" t="str">
            <v>[Days]</v>
          </cell>
          <cell r="I695">
            <v>60.280114694617176</v>
          </cell>
          <cell r="J695">
            <v>34.594049789717694</v>
          </cell>
          <cell r="K695">
            <v>100.05503273388109</v>
          </cell>
          <cell r="L695">
            <v>55.861949765487751</v>
          </cell>
          <cell r="M695">
            <v>40</v>
          </cell>
          <cell r="N695">
            <v>40</v>
          </cell>
          <cell r="O695">
            <v>40</v>
          </cell>
          <cell r="P695">
            <v>40</v>
          </cell>
          <cell r="Q695">
            <v>40</v>
          </cell>
          <cell r="R695">
            <v>40</v>
          </cell>
          <cell r="S695">
            <v>40</v>
          </cell>
          <cell r="T695">
            <v>40</v>
          </cell>
          <cell r="U695">
            <v>40</v>
          </cell>
          <cell r="V695">
            <v>40</v>
          </cell>
          <cell r="W695">
            <v>40</v>
          </cell>
          <cell r="X695">
            <v>40</v>
          </cell>
          <cell r="Y695">
            <v>40</v>
          </cell>
          <cell r="Z695">
            <v>40</v>
          </cell>
          <cell r="AA695">
            <v>40</v>
          </cell>
          <cell r="AB695">
            <v>40</v>
          </cell>
          <cell r="AC695">
            <v>40</v>
          </cell>
          <cell r="AD695">
            <v>40</v>
          </cell>
          <cell r="AE695">
            <v>40</v>
          </cell>
          <cell r="AF695">
            <v>40</v>
          </cell>
          <cell r="AG695">
            <v>40</v>
          </cell>
          <cell r="AH695">
            <v>40</v>
          </cell>
          <cell r="AI695">
            <v>40</v>
          </cell>
          <cell r="AJ695">
            <v>40</v>
          </cell>
          <cell r="AK695">
            <v>40</v>
          </cell>
          <cell r="AL695">
            <v>40</v>
          </cell>
          <cell r="AM695">
            <v>40</v>
          </cell>
          <cell r="AN695">
            <v>40</v>
          </cell>
          <cell r="AO695">
            <v>40</v>
          </cell>
          <cell r="AP695">
            <v>40</v>
          </cell>
          <cell r="AQ695">
            <v>40</v>
          </cell>
          <cell r="AR695">
            <v>40</v>
          </cell>
          <cell r="AS695">
            <v>40</v>
          </cell>
          <cell r="AT695">
            <v>40</v>
          </cell>
        </row>
        <row r="696">
          <cell r="E696" t="str">
            <v>Net revenues</v>
          </cell>
          <cell r="F696" t="str">
            <v>[R$ '000]</v>
          </cell>
          <cell r="I696">
            <v>475698</v>
          </cell>
          <cell r="J696">
            <v>436556</v>
          </cell>
          <cell r="K696">
            <v>311451</v>
          </cell>
          <cell r="L696">
            <v>324476.68003164505</v>
          </cell>
          <cell r="M696">
            <v>409559.77403656364</v>
          </cell>
          <cell r="N696">
            <v>431116.26181905612</v>
          </cell>
          <cell r="O696">
            <v>536648.59135280969</v>
          </cell>
          <cell r="P696">
            <v>1231784.0343097688</v>
          </cell>
          <cell r="Q696">
            <v>1228047.7277538732</v>
          </cell>
          <cell r="R696">
            <v>1230582.9307254315</v>
          </cell>
          <cell r="S696">
            <v>1230582.9307254315</v>
          </cell>
          <cell r="T696">
            <v>1230582.9307254311</v>
          </cell>
          <cell r="U696">
            <v>1230582.9307254311</v>
          </cell>
          <cell r="V696">
            <v>1230582.9307254315</v>
          </cell>
          <cell r="W696">
            <v>1230582.9307254315</v>
          </cell>
          <cell r="X696">
            <v>1025230.7624202673</v>
          </cell>
          <cell r="Y696">
            <v>1025165.4278294313</v>
          </cell>
          <cell r="Z696">
            <v>1025165.4278294313</v>
          </cell>
          <cell r="AA696">
            <v>1025165.4278294313</v>
          </cell>
          <cell r="AB696">
            <v>1025165.4278294313</v>
          </cell>
          <cell r="AC696">
            <v>1025165.4278294313</v>
          </cell>
          <cell r="AD696">
            <v>1025165.4278294313</v>
          </cell>
          <cell r="AE696">
            <v>1025165.4278294313</v>
          </cell>
          <cell r="AF696">
            <v>1025165.4278294313</v>
          </cell>
          <cell r="AG696">
            <v>1025165.427829431</v>
          </cell>
          <cell r="AH696">
            <v>1025165.4278294313</v>
          </cell>
          <cell r="AI696">
            <v>1025165.4278294313</v>
          </cell>
          <cell r="AJ696">
            <v>1070390.9565516389</v>
          </cell>
          <cell r="AK696">
            <v>977608.36138495686</v>
          </cell>
          <cell r="AL696">
            <v>977608.36138495733</v>
          </cell>
          <cell r="AM696">
            <v>977608.36138495733</v>
          </cell>
          <cell r="AN696">
            <v>977608.36138495733</v>
          </cell>
          <cell r="AO696">
            <v>977608.36138495698</v>
          </cell>
          <cell r="AP696">
            <v>719248.16162875877</v>
          </cell>
          <cell r="AQ696">
            <v>0</v>
          </cell>
          <cell r="AR696">
            <v>0</v>
          </cell>
          <cell r="AS696">
            <v>0</v>
          </cell>
          <cell r="AT696">
            <v>0</v>
          </cell>
        </row>
        <row r="698">
          <cell r="E698" t="str">
            <v>Inventories</v>
          </cell>
          <cell r="F698" t="str">
            <v>[R$ '000]</v>
          </cell>
          <cell r="I698">
            <v>6371</v>
          </cell>
          <cell r="J698">
            <v>9880</v>
          </cell>
          <cell r="K698">
            <v>15393</v>
          </cell>
          <cell r="L698">
            <v>10194</v>
          </cell>
          <cell r="M698">
            <v>11300.851597480589</v>
          </cell>
          <cell r="N698">
            <v>12808.688851931602</v>
          </cell>
          <cell r="O698">
            <v>18740.162747099046</v>
          </cell>
          <cell r="P698">
            <v>42925.475510047843</v>
          </cell>
          <cell r="Q698">
            <v>43000.800783993167</v>
          </cell>
          <cell r="R698">
            <v>43001.146814763422</v>
          </cell>
          <cell r="S698">
            <v>43001.146814763422</v>
          </cell>
          <cell r="T698">
            <v>43001.146814763422</v>
          </cell>
          <cell r="U698">
            <v>43001.146814763422</v>
          </cell>
          <cell r="V698">
            <v>43001.146814763422</v>
          </cell>
          <cell r="W698">
            <v>43001.146814763422</v>
          </cell>
          <cell r="X698">
            <v>35311.305786985504</v>
          </cell>
          <cell r="Y698">
            <v>35310.947929367634</v>
          </cell>
          <cell r="Z698">
            <v>35310.947929367634</v>
          </cell>
          <cell r="AA698">
            <v>35310.947929367634</v>
          </cell>
          <cell r="AB698">
            <v>35310.947929367634</v>
          </cell>
          <cell r="AC698">
            <v>35310.947929367634</v>
          </cell>
          <cell r="AD698">
            <v>35310.947929367634</v>
          </cell>
          <cell r="AE698">
            <v>35310.947929367634</v>
          </cell>
          <cell r="AF698">
            <v>35310.947929367634</v>
          </cell>
          <cell r="AG698">
            <v>35310.947929367634</v>
          </cell>
          <cell r="AH698">
            <v>35310.947929367634</v>
          </cell>
          <cell r="AI698">
            <v>35310.947929367634</v>
          </cell>
          <cell r="AJ698">
            <v>42073.751972600265</v>
          </cell>
          <cell r="AK698">
            <v>42190.771650649738</v>
          </cell>
          <cell r="AL698">
            <v>42190.771650649753</v>
          </cell>
          <cell r="AM698">
            <v>42190.771650649753</v>
          </cell>
          <cell r="AN698">
            <v>42190.771650649753</v>
          </cell>
          <cell r="AO698">
            <v>42190.771650649745</v>
          </cell>
          <cell r="AP698">
            <v>32395.749897541285</v>
          </cell>
          <cell r="AQ698">
            <v>0</v>
          </cell>
          <cell r="AR698">
            <v>0</v>
          </cell>
          <cell r="AS698">
            <v>0</v>
          </cell>
          <cell r="AT698">
            <v>0</v>
          </cell>
        </row>
        <row r="699">
          <cell r="E699" t="str">
            <v>Days</v>
          </cell>
          <cell r="F699" t="str">
            <v>[Days]</v>
          </cell>
          <cell r="I699">
            <v>17.917026227386199</v>
          </cell>
          <cell r="J699">
            <v>26.909530489806883</v>
          </cell>
          <cell r="K699">
            <v>39.824249898994196</v>
          </cell>
          <cell r="L699">
            <v>23.733439642800189</v>
          </cell>
          <cell r="M699">
            <v>23.733439642800189</v>
          </cell>
          <cell r="N699">
            <v>23.733439642800189</v>
          </cell>
          <cell r="O699">
            <v>23.733439642800189</v>
          </cell>
          <cell r="P699">
            <v>23.733439642800189</v>
          </cell>
          <cell r="Q699">
            <v>23.733439642800189</v>
          </cell>
          <cell r="R699">
            <v>23.733439642800189</v>
          </cell>
          <cell r="S699">
            <v>23.733439642800189</v>
          </cell>
          <cell r="T699">
            <v>23.733439642800189</v>
          </cell>
          <cell r="U699">
            <v>23.733439642800189</v>
          </cell>
          <cell r="V699">
            <v>23.733439642800189</v>
          </cell>
          <cell r="W699">
            <v>23.733439642800189</v>
          </cell>
          <cell r="X699">
            <v>23.733439642800189</v>
          </cell>
          <cell r="Y699">
            <v>23.733439642800189</v>
          </cell>
          <cell r="Z699">
            <v>23.733439642800189</v>
          </cell>
          <cell r="AA699">
            <v>23.733439642800189</v>
          </cell>
          <cell r="AB699">
            <v>23.733439642800189</v>
          </cell>
          <cell r="AC699">
            <v>23.733439642800189</v>
          </cell>
          <cell r="AD699">
            <v>23.733439642800189</v>
          </cell>
          <cell r="AE699">
            <v>23.733439642800189</v>
          </cell>
          <cell r="AF699">
            <v>23.733439642800189</v>
          </cell>
          <cell r="AG699">
            <v>23.733439642800189</v>
          </cell>
          <cell r="AH699">
            <v>23.733439642800189</v>
          </cell>
          <cell r="AI699">
            <v>23.733439642800189</v>
          </cell>
          <cell r="AJ699">
            <v>23.733439642800189</v>
          </cell>
          <cell r="AK699">
            <v>23.733439642800189</v>
          </cell>
          <cell r="AL699">
            <v>23.733439642800189</v>
          </cell>
          <cell r="AM699">
            <v>23.733439642800189</v>
          </cell>
          <cell r="AN699">
            <v>23.733439642800189</v>
          </cell>
          <cell r="AO699">
            <v>23.733439642800189</v>
          </cell>
          <cell r="AP699">
            <v>23.733439642800189</v>
          </cell>
          <cell r="AQ699">
            <v>23.733439642800189</v>
          </cell>
          <cell r="AR699">
            <v>23.733439642800189</v>
          </cell>
          <cell r="AS699">
            <v>23.733439642800189</v>
          </cell>
          <cell r="AT699">
            <v>23.733439642800189</v>
          </cell>
        </row>
        <row r="700">
          <cell r="E700" t="str">
            <v>COGS</v>
          </cell>
          <cell r="F700" t="str">
            <v>[R$ '000]</v>
          </cell>
          <cell r="I700">
            <v>129788</v>
          </cell>
          <cell r="J700">
            <v>134012</v>
          </cell>
          <cell r="K700">
            <v>141081</v>
          </cell>
          <cell r="L700">
            <v>156775</v>
          </cell>
          <cell r="M700">
            <v>173797.43076270548</v>
          </cell>
          <cell r="N700">
            <v>196986.67792442389</v>
          </cell>
          <cell r="O700">
            <v>288207.67261883983</v>
          </cell>
          <cell r="P700">
            <v>660157.09467213578</v>
          </cell>
          <cell r="Q700">
            <v>661315.53295178828</v>
          </cell>
          <cell r="R700">
            <v>661320.85460903833</v>
          </cell>
          <cell r="S700">
            <v>661320.85460903833</v>
          </cell>
          <cell r="T700">
            <v>661320.85460903833</v>
          </cell>
          <cell r="U700">
            <v>661320.85460903833</v>
          </cell>
          <cell r="V700">
            <v>661320.85460903833</v>
          </cell>
          <cell r="W700">
            <v>661320.85460903833</v>
          </cell>
          <cell r="X700">
            <v>543057.67753135692</v>
          </cell>
          <cell r="Y700">
            <v>543052.17398730735</v>
          </cell>
          <cell r="Z700">
            <v>543052.17398730735</v>
          </cell>
          <cell r="AA700">
            <v>543052.17398730735</v>
          </cell>
          <cell r="AB700">
            <v>543052.17398730735</v>
          </cell>
          <cell r="AC700">
            <v>543052.17398730735</v>
          </cell>
          <cell r="AD700">
            <v>543052.17398730735</v>
          </cell>
          <cell r="AE700">
            <v>543052.17398730735</v>
          </cell>
          <cell r="AF700">
            <v>543052.17398730735</v>
          </cell>
          <cell r="AG700">
            <v>543052.17398730735</v>
          </cell>
          <cell r="AH700">
            <v>543052.17398730747</v>
          </cell>
          <cell r="AI700">
            <v>543052.17398730735</v>
          </cell>
          <cell r="AJ700">
            <v>647058.31523488392</v>
          </cell>
          <cell r="AK700">
            <v>648857.97778405074</v>
          </cell>
          <cell r="AL700">
            <v>648857.97778405098</v>
          </cell>
          <cell r="AM700">
            <v>648857.97778405098</v>
          </cell>
          <cell r="AN700">
            <v>648857.97778405098</v>
          </cell>
          <cell r="AO700">
            <v>648857.97778405086</v>
          </cell>
          <cell r="AP700">
            <v>498218.92193319945</v>
          </cell>
          <cell r="AQ700">
            <v>0</v>
          </cell>
          <cell r="AR700">
            <v>0</v>
          </cell>
          <cell r="AS700">
            <v>0</v>
          </cell>
          <cell r="AT700">
            <v>0</v>
          </cell>
        </row>
        <row r="702">
          <cell r="E702" t="str">
            <v>Recoverable Taxes - ST</v>
          </cell>
          <cell r="F702" t="str">
            <v>[R$ '000]</v>
          </cell>
          <cell r="I702">
            <v>2523</v>
          </cell>
          <cell r="J702">
            <v>810</v>
          </cell>
          <cell r="K702">
            <v>7022</v>
          </cell>
          <cell r="L702">
            <v>14458</v>
          </cell>
          <cell r="M702">
            <v>16027.831312181122</v>
          </cell>
          <cell r="N702">
            <v>18166.374673457634</v>
          </cell>
          <cell r="O702">
            <v>26578.89670370394</v>
          </cell>
          <cell r="P702">
            <v>60880.569445190486</v>
          </cell>
          <cell r="Q702">
            <v>60987.402171372691</v>
          </cell>
          <cell r="R702">
            <v>60987.892941715683</v>
          </cell>
          <cell r="S702">
            <v>60987.892941715683</v>
          </cell>
          <cell r="T702">
            <v>60987.892941715683</v>
          </cell>
          <cell r="U702">
            <v>60987.892941715683</v>
          </cell>
          <cell r="V702">
            <v>60987.892941715683</v>
          </cell>
          <cell r="W702">
            <v>60987.892941715683</v>
          </cell>
          <cell r="X702">
            <v>50081.504715345924</v>
          </cell>
          <cell r="Y702">
            <v>50080.99717115923</v>
          </cell>
          <cell r="Z702">
            <v>50080.99717115923</v>
          </cell>
          <cell r="AA702">
            <v>50080.99717115923</v>
          </cell>
          <cell r="AB702">
            <v>50080.99717115923</v>
          </cell>
          <cell r="AC702">
            <v>50080.99717115923</v>
          </cell>
          <cell r="AD702">
            <v>50080.99717115923</v>
          </cell>
          <cell r="AE702">
            <v>50080.99717115923</v>
          </cell>
          <cell r="AF702">
            <v>50080.99717115923</v>
          </cell>
          <cell r="AG702">
            <v>50080.99717115923</v>
          </cell>
          <cell r="AH702">
            <v>50080.997171159244</v>
          </cell>
          <cell r="AI702">
            <v>50080.99717115923</v>
          </cell>
          <cell r="AJ702">
            <v>59672.582501457189</v>
          </cell>
          <cell r="AK702">
            <v>59838.549786648407</v>
          </cell>
          <cell r="AL702">
            <v>59838.549786648429</v>
          </cell>
          <cell r="AM702">
            <v>59838.549786648429</v>
          </cell>
          <cell r="AN702">
            <v>59838.549786648429</v>
          </cell>
          <cell r="AO702">
            <v>59838.549786648422</v>
          </cell>
          <cell r="AP702">
            <v>45946.41475560642</v>
          </cell>
          <cell r="AQ702">
            <v>0</v>
          </cell>
          <cell r="AR702">
            <v>0</v>
          </cell>
          <cell r="AS702">
            <v>0</v>
          </cell>
          <cell r="AT702">
            <v>0</v>
          </cell>
        </row>
        <row r="703">
          <cell r="E703" t="str">
            <v>Days</v>
          </cell>
          <cell r="F703" t="str">
            <v>[Days]</v>
          </cell>
          <cell r="I703">
            <v>7.0953786174376674</v>
          </cell>
          <cell r="J703">
            <v>2.2061457182938842</v>
          </cell>
          <cell r="K703">
            <v>18.16708132207739</v>
          </cell>
          <cell r="L703">
            <v>33.660787753149414</v>
          </cell>
          <cell r="M703">
            <v>33.660787753149414</v>
          </cell>
          <cell r="N703">
            <v>33.660787753149414</v>
          </cell>
          <cell r="O703">
            <v>33.660787753149414</v>
          </cell>
          <cell r="P703">
            <v>33.660787753149414</v>
          </cell>
          <cell r="Q703">
            <v>33.660787753149414</v>
          </cell>
          <cell r="R703">
            <v>33.660787753149414</v>
          </cell>
          <cell r="S703">
            <v>33.660787753149414</v>
          </cell>
          <cell r="T703">
            <v>33.660787753149414</v>
          </cell>
          <cell r="U703">
            <v>33.660787753149414</v>
          </cell>
          <cell r="V703">
            <v>33.660787753149414</v>
          </cell>
          <cell r="W703">
            <v>33.660787753149414</v>
          </cell>
          <cell r="X703">
            <v>33.660787753149414</v>
          </cell>
          <cell r="Y703">
            <v>33.660787753149414</v>
          </cell>
          <cell r="Z703">
            <v>33.660787753149414</v>
          </cell>
          <cell r="AA703">
            <v>33.660787753149414</v>
          </cell>
          <cell r="AB703">
            <v>33.660787753149414</v>
          </cell>
          <cell r="AC703">
            <v>33.660787753149414</v>
          </cell>
          <cell r="AD703">
            <v>33.660787753149414</v>
          </cell>
          <cell r="AE703">
            <v>33.660787753149414</v>
          </cell>
          <cell r="AF703">
            <v>33.660787753149414</v>
          </cell>
          <cell r="AG703">
            <v>33.660787753149414</v>
          </cell>
          <cell r="AH703">
            <v>33.660787753149414</v>
          </cell>
          <cell r="AI703">
            <v>33.660787753149414</v>
          </cell>
          <cell r="AJ703">
            <v>33.660787753149414</v>
          </cell>
          <cell r="AK703">
            <v>33.660787753149414</v>
          </cell>
          <cell r="AL703">
            <v>33.660787753149414</v>
          </cell>
          <cell r="AM703">
            <v>33.660787753149414</v>
          </cell>
          <cell r="AN703">
            <v>33.660787753149414</v>
          </cell>
          <cell r="AO703">
            <v>33.660787753149414</v>
          </cell>
          <cell r="AP703">
            <v>33.660787753149414</v>
          </cell>
          <cell r="AQ703">
            <v>33.660787753149414</v>
          </cell>
          <cell r="AR703">
            <v>33.660787753149414</v>
          </cell>
          <cell r="AS703">
            <v>33.660787753149414</v>
          </cell>
          <cell r="AT703">
            <v>33.660787753149414</v>
          </cell>
        </row>
        <row r="704">
          <cell r="E704" t="str">
            <v>COGS</v>
          </cell>
          <cell r="F704" t="str">
            <v>[R$ '000]</v>
          </cell>
          <cell r="I704">
            <v>129788</v>
          </cell>
          <cell r="J704">
            <v>134012</v>
          </cell>
          <cell r="K704">
            <v>141081</v>
          </cell>
          <cell r="L704">
            <v>156775</v>
          </cell>
          <cell r="M704">
            <v>173797.43076270548</v>
          </cell>
          <cell r="N704">
            <v>196986.67792442389</v>
          </cell>
          <cell r="O704">
            <v>288207.67261883983</v>
          </cell>
          <cell r="P704">
            <v>660157.09467213578</v>
          </cell>
          <cell r="Q704">
            <v>661315.53295178828</v>
          </cell>
          <cell r="R704">
            <v>661320.85460903833</v>
          </cell>
          <cell r="S704">
            <v>661320.85460903833</v>
          </cell>
          <cell r="T704">
            <v>661320.85460903833</v>
          </cell>
          <cell r="U704">
            <v>661320.85460903833</v>
          </cell>
          <cell r="V704">
            <v>661320.85460903833</v>
          </cell>
          <cell r="W704">
            <v>661320.85460903833</v>
          </cell>
          <cell r="X704">
            <v>543057.67753135692</v>
          </cell>
          <cell r="Y704">
            <v>543052.17398730735</v>
          </cell>
          <cell r="Z704">
            <v>543052.17398730735</v>
          </cell>
          <cell r="AA704">
            <v>543052.17398730735</v>
          </cell>
          <cell r="AB704">
            <v>543052.17398730735</v>
          </cell>
          <cell r="AC704">
            <v>543052.17398730735</v>
          </cell>
          <cell r="AD704">
            <v>543052.17398730735</v>
          </cell>
          <cell r="AE704">
            <v>543052.17398730735</v>
          </cell>
          <cell r="AF704">
            <v>543052.17398730735</v>
          </cell>
          <cell r="AG704">
            <v>543052.17398730735</v>
          </cell>
          <cell r="AH704">
            <v>543052.17398730747</v>
          </cell>
          <cell r="AI704">
            <v>543052.17398730735</v>
          </cell>
          <cell r="AJ704">
            <v>647058.31523488392</v>
          </cell>
          <cell r="AK704">
            <v>648857.97778405074</v>
          </cell>
          <cell r="AL704">
            <v>648857.97778405098</v>
          </cell>
          <cell r="AM704">
            <v>648857.97778405098</v>
          </cell>
          <cell r="AN704">
            <v>648857.97778405098</v>
          </cell>
          <cell r="AO704">
            <v>648857.97778405086</v>
          </cell>
          <cell r="AP704">
            <v>498218.92193319945</v>
          </cell>
          <cell r="AQ704">
            <v>0</v>
          </cell>
          <cell r="AR704">
            <v>0</v>
          </cell>
          <cell r="AS704">
            <v>0</v>
          </cell>
          <cell r="AT704">
            <v>0</v>
          </cell>
        </row>
        <row r="706">
          <cell r="E706" t="str">
            <v>Recoverable Taxes - LT</v>
          </cell>
          <cell r="F706" t="str">
            <v>[R$ '000]</v>
          </cell>
          <cell r="I706">
            <v>2459</v>
          </cell>
          <cell r="J706">
            <v>1239</v>
          </cell>
          <cell r="K706">
            <v>635</v>
          </cell>
          <cell r="L706">
            <v>403</v>
          </cell>
          <cell r="M706">
            <v>446.75722913328218</v>
          </cell>
          <cell r="N706">
            <v>506.36664776617977</v>
          </cell>
          <cell r="O706">
            <v>740.8559532157069</v>
          </cell>
          <cell r="P706">
            <v>1696.975341431164</v>
          </cell>
          <cell r="Q706">
            <v>1699.9531799047722</v>
          </cell>
          <cell r="R706">
            <v>1699.9668595595117</v>
          </cell>
          <cell r="S706">
            <v>1699.9668595595117</v>
          </cell>
          <cell r="T706">
            <v>1699.9668595595117</v>
          </cell>
          <cell r="U706">
            <v>1699.9668595595117</v>
          </cell>
          <cell r="V706">
            <v>1699.9668595595117</v>
          </cell>
          <cell r="W706">
            <v>1699.9668595595117</v>
          </cell>
          <cell r="X706">
            <v>1395.9639231072354</v>
          </cell>
          <cell r="Y706">
            <v>1395.9497759010358</v>
          </cell>
          <cell r="Z706">
            <v>1395.9497759010358</v>
          </cell>
          <cell r="AA706">
            <v>1395.9497759010358</v>
          </cell>
          <cell r="AB706">
            <v>1395.9497759010358</v>
          </cell>
          <cell r="AC706">
            <v>1395.9497759010358</v>
          </cell>
          <cell r="AD706">
            <v>1395.9497759010358</v>
          </cell>
          <cell r="AE706">
            <v>1395.9497759010358</v>
          </cell>
          <cell r="AF706">
            <v>1395.9497759010358</v>
          </cell>
          <cell r="AG706">
            <v>1395.9497759010358</v>
          </cell>
          <cell r="AH706">
            <v>1395.949775901036</v>
          </cell>
          <cell r="AI706">
            <v>1395.9497759010358</v>
          </cell>
          <cell r="AJ706">
            <v>1663.304104861478</v>
          </cell>
          <cell r="AK706">
            <v>1667.9302506584115</v>
          </cell>
          <cell r="AL706">
            <v>1667.9302506584122</v>
          </cell>
          <cell r="AM706">
            <v>1667.9302506584122</v>
          </cell>
          <cell r="AN706">
            <v>1667.9302506584122</v>
          </cell>
          <cell r="AO706">
            <v>1667.930250658412</v>
          </cell>
          <cell r="AP706">
            <v>1280.70308109762</v>
          </cell>
          <cell r="AQ706">
            <v>0</v>
          </cell>
          <cell r="AR706">
            <v>0</v>
          </cell>
          <cell r="AS706">
            <v>0</v>
          </cell>
          <cell r="AT706">
            <v>0</v>
          </cell>
        </row>
        <row r="707">
          <cell r="E707" t="str">
            <v>Days</v>
          </cell>
          <cell r="F707" t="str">
            <v>[Days]</v>
          </cell>
          <cell r="I707">
            <v>6.9153927944031803</v>
          </cell>
          <cell r="J707">
            <v>3.3745858579828671</v>
          </cell>
          <cell r="K707">
            <v>1.6428505610252266</v>
          </cell>
          <cell r="L707">
            <v>0.93825546164885987</v>
          </cell>
          <cell r="M707">
            <v>0.93825546164885987</v>
          </cell>
          <cell r="N707">
            <v>0.93825546164885987</v>
          </cell>
          <cell r="O707">
            <v>0.93825546164885987</v>
          </cell>
          <cell r="P707">
            <v>0.93825546164885987</v>
          </cell>
          <cell r="Q707">
            <v>0.93825546164885987</v>
          </cell>
          <cell r="R707">
            <v>0.93825546164885987</v>
          </cell>
          <cell r="S707">
            <v>0.93825546164885987</v>
          </cell>
          <cell r="T707">
            <v>0.93825546164885987</v>
          </cell>
          <cell r="U707">
            <v>0.93825546164885987</v>
          </cell>
          <cell r="V707">
            <v>0.93825546164885987</v>
          </cell>
          <cell r="W707">
            <v>0.93825546164885987</v>
          </cell>
          <cell r="X707">
            <v>0.93825546164885987</v>
          </cell>
          <cell r="Y707">
            <v>0.93825546164885987</v>
          </cell>
          <cell r="Z707">
            <v>0.93825546164885987</v>
          </cell>
          <cell r="AA707">
            <v>0.93825546164885987</v>
          </cell>
          <cell r="AB707">
            <v>0.93825546164885987</v>
          </cell>
          <cell r="AC707">
            <v>0.93825546164885987</v>
          </cell>
          <cell r="AD707">
            <v>0.93825546164885987</v>
          </cell>
          <cell r="AE707">
            <v>0.93825546164885987</v>
          </cell>
          <cell r="AF707">
            <v>0.93825546164885987</v>
          </cell>
          <cell r="AG707">
            <v>0.93825546164885987</v>
          </cell>
          <cell r="AH707">
            <v>0.93825546164885987</v>
          </cell>
          <cell r="AI707">
            <v>0.93825546164885987</v>
          </cell>
          <cell r="AJ707">
            <v>0.93825546164885987</v>
          </cell>
          <cell r="AK707">
            <v>0.93825546164885987</v>
          </cell>
          <cell r="AL707">
            <v>0.93825546164885987</v>
          </cell>
          <cell r="AM707">
            <v>0.93825546164885987</v>
          </cell>
          <cell r="AN707">
            <v>0.93825546164885987</v>
          </cell>
          <cell r="AO707">
            <v>0.93825546164885987</v>
          </cell>
          <cell r="AP707">
            <v>0.93825546164885987</v>
          </cell>
          <cell r="AQ707">
            <v>0.93825546164885987</v>
          </cell>
          <cell r="AR707">
            <v>0.93825546164885987</v>
          </cell>
          <cell r="AS707">
            <v>0.93825546164885987</v>
          </cell>
          <cell r="AT707">
            <v>0.93825546164885987</v>
          </cell>
        </row>
        <row r="708">
          <cell r="E708" t="str">
            <v>COGS</v>
          </cell>
          <cell r="F708" t="str">
            <v>[R$ '000]</v>
          </cell>
          <cell r="I708">
            <v>129788</v>
          </cell>
          <cell r="J708">
            <v>134012</v>
          </cell>
          <cell r="K708">
            <v>141081</v>
          </cell>
          <cell r="L708">
            <v>156775</v>
          </cell>
          <cell r="M708">
            <v>173797.43076270548</v>
          </cell>
          <cell r="N708">
            <v>196986.67792442389</v>
          </cell>
          <cell r="O708">
            <v>288207.67261883983</v>
          </cell>
          <cell r="P708">
            <v>660157.09467213578</v>
          </cell>
          <cell r="Q708">
            <v>661315.53295178828</v>
          </cell>
          <cell r="R708">
            <v>661320.85460903833</v>
          </cell>
          <cell r="S708">
            <v>661320.85460903833</v>
          </cell>
          <cell r="T708">
            <v>661320.85460903833</v>
          </cell>
          <cell r="U708">
            <v>661320.85460903833</v>
          </cell>
          <cell r="V708">
            <v>661320.85460903833</v>
          </cell>
          <cell r="W708">
            <v>661320.85460903833</v>
          </cell>
          <cell r="X708">
            <v>543057.67753135692</v>
          </cell>
          <cell r="Y708">
            <v>543052.17398730735</v>
          </cell>
          <cell r="Z708">
            <v>543052.17398730735</v>
          </cell>
          <cell r="AA708">
            <v>543052.17398730735</v>
          </cell>
          <cell r="AB708">
            <v>543052.17398730735</v>
          </cell>
          <cell r="AC708">
            <v>543052.17398730735</v>
          </cell>
          <cell r="AD708">
            <v>543052.17398730735</v>
          </cell>
          <cell r="AE708">
            <v>543052.17398730735</v>
          </cell>
          <cell r="AF708">
            <v>543052.17398730735</v>
          </cell>
          <cell r="AG708">
            <v>543052.17398730735</v>
          </cell>
          <cell r="AH708">
            <v>543052.17398730747</v>
          </cell>
          <cell r="AI708">
            <v>543052.17398730735</v>
          </cell>
          <cell r="AJ708">
            <v>647058.31523488392</v>
          </cell>
          <cell r="AK708">
            <v>648857.97778405074</v>
          </cell>
          <cell r="AL708">
            <v>648857.97778405098</v>
          </cell>
          <cell r="AM708">
            <v>648857.97778405098</v>
          </cell>
          <cell r="AN708">
            <v>648857.97778405098</v>
          </cell>
          <cell r="AO708">
            <v>648857.97778405086</v>
          </cell>
          <cell r="AP708">
            <v>498218.92193319945</v>
          </cell>
          <cell r="AQ708">
            <v>0</v>
          </cell>
          <cell r="AR708">
            <v>0</v>
          </cell>
          <cell r="AS708">
            <v>0</v>
          </cell>
          <cell r="AT708">
            <v>0</v>
          </cell>
        </row>
        <row r="710">
          <cell r="E710" t="str">
            <v>Liabilities</v>
          </cell>
          <cell r="F710" t="str">
            <v>[R$ '000]</v>
          </cell>
          <cell r="I710">
            <v>40552</v>
          </cell>
          <cell r="J710">
            <v>35409</v>
          </cell>
          <cell r="K710">
            <v>31319</v>
          </cell>
          <cell r="L710">
            <v>30226</v>
          </cell>
          <cell r="M710">
            <v>33507.900763728503</v>
          </cell>
          <cell r="N710">
            <v>37978.755075385976</v>
          </cell>
          <cell r="O710">
            <v>55566.034843419249</v>
          </cell>
          <cell r="P710">
            <v>127277.3614642639</v>
          </cell>
          <cell r="Q710">
            <v>127500.7067389619</v>
          </cell>
          <cell r="R710">
            <v>127501.73274701191</v>
          </cell>
          <cell r="S710">
            <v>127501.73274701191</v>
          </cell>
          <cell r="T710">
            <v>127501.73274701191</v>
          </cell>
          <cell r="U710">
            <v>127501.73274701191</v>
          </cell>
          <cell r="V710">
            <v>127501.73274701191</v>
          </cell>
          <cell r="W710">
            <v>127501.73274701191</v>
          </cell>
          <cell r="X710">
            <v>104700.75816337294</v>
          </cell>
          <cell r="Y710">
            <v>104699.69708780324</v>
          </cell>
          <cell r="Z710">
            <v>104699.69708780324</v>
          </cell>
          <cell r="AA710">
            <v>104699.69708780324</v>
          </cell>
          <cell r="AB710">
            <v>104699.69708780324</v>
          </cell>
          <cell r="AC710">
            <v>104699.69708780324</v>
          </cell>
          <cell r="AD710">
            <v>104699.69708780324</v>
          </cell>
          <cell r="AE710">
            <v>104699.69708780324</v>
          </cell>
          <cell r="AF710">
            <v>104699.69708780324</v>
          </cell>
          <cell r="AG710">
            <v>104699.69708780324</v>
          </cell>
          <cell r="AH710">
            <v>104699.69708780326</v>
          </cell>
          <cell r="AI710">
            <v>104699.69708780324</v>
          </cell>
          <cell r="AJ710">
            <v>124751.93517008197</v>
          </cell>
          <cell r="AK710">
            <v>125098.90758412195</v>
          </cell>
          <cell r="AL710">
            <v>125098.90758412199</v>
          </cell>
          <cell r="AM710">
            <v>125098.90758412199</v>
          </cell>
          <cell r="AN710">
            <v>125098.90758412199</v>
          </cell>
          <cell r="AO710">
            <v>125098.90758412196</v>
          </cell>
          <cell r="AP710">
            <v>96055.909005599664</v>
          </cell>
          <cell r="AQ710">
            <v>0</v>
          </cell>
          <cell r="AR710">
            <v>0</v>
          </cell>
          <cell r="AS710">
            <v>0</v>
          </cell>
          <cell r="AT710">
            <v>0</v>
          </cell>
        </row>
        <row r="712">
          <cell r="E712" t="str">
            <v>Suppliers</v>
          </cell>
          <cell r="F712" t="str">
            <v>[R$ '000]</v>
          </cell>
          <cell r="I712">
            <v>40552</v>
          </cell>
          <cell r="J712">
            <v>35409</v>
          </cell>
          <cell r="K712">
            <v>31319</v>
          </cell>
          <cell r="L712">
            <v>30226</v>
          </cell>
          <cell r="M712">
            <v>33507.900763728503</v>
          </cell>
          <cell r="N712">
            <v>37978.755075385976</v>
          </cell>
          <cell r="O712">
            <v>55566.034843419249</v>
          </cell>
          <cell r="P712">
            <v>127277.3614642639</v>
          </cell>
          <cell r="Q712">
            <v>127500.7067389619</v>
          </cell>
          <cell r="R712">
            <v>127501.73274701191</v>
          </cell>
          <cell r="S712">
            <v>127501.73274701191</v>
          </cell>
          <cell r="T712">
            <v>127501.73274701191</v>
          </cell>
          <cell r="U712">
            <v>127501.73274701191</v>
          </cell>
          <cell r="V712">
            <v>127501.73274701191</v>
          </cell>
          <cell r="W712">
            <v>127501.73274701191</v>
          </cell>
          <cell r="X712">
            <v>104700.75816337294</v>
          </cell>
          <cell r="Y712">
            <v>104699.69708780324</v>
          </cell>
          <cell r="Z712">
            <v>104699.69708780324</v>
          </cell>
          <cell r="AA712">
            <v>104699.69708780324</v>
          </cell>
          <cell r="AB712">
            <v>104699.69708780324</v>
          </cell>
          <cell r="AC712">
            <v>104699.69708780324</v>
          </cell>
          <cell r="AD712">
            <v>104699.69708780324</v>
          </cell>
          <cell r="AE712">
            <v>104699.69708780324</v>
          </cell>
          <cell r="AF712">
            <v>104699.69708780324</v>
          </cell>
          <cell r="AG712">
            <v>104699.69708780324</v>
          </cell>
          <cell r="AH712">
            <v>104699.69708780326</v>
          </cell>
          <cell r="AI712">
            <v>104699.69708780324</v>
          </cell>
          <cell r="AJ712">
            <v>124751.93517008197</v>
          </cell>
          <cell r="AK712">
            <v>125098.90758412195</v>
          </cell>
          <cell r="AL712">
            <v>125098.90758412199</v>
          </cell>
          <cell r="AM712">
            <v>125098.90758412199</v>
          </cell>
          <cell r="AN712">
            <v>125098.90758412199</v>
          </cell>
          <cell r="AO712">
            <v>125098.90758412196</v>
          </cell>
          <cell r="AP712">
            <v>96055.909005599664</v>
          </cell>
          <cell r="AQ712">
            <v>0</v>
          </cell>
          <cell r="AR712">
            <v>0</v>
          </cell>
          <cell r="AS712">
            <v>0</v>
          </cell>
          <cell r="AT712">
            <v>0</v>
          </cell>
        </row>
        <row r="713">
          <cell r="E713" t="str">
            <v>Days</v>
          </cell>
          <cell r="F713" t="str">
            <v>[Days]</v>
          </cell>
          <cell r="I713">
            <v>114.04351712022684</v>
          </cell>
          <cell r="J713">
            <v>96.441251529713767</v>
          </cell>
          <cell r="K713">
            <v>81.027459402754445</v>
          </cell>
          <cell r="L713">
            <v>70.371487800988675</v>
          </cell>
          <cell r="M713">
            <v>70.371487800988675</v>
          </cell>
          <cell r="N713">
            <v>70.371487800988675</v>
          </cell>
          <cell r="O713">
            <v>70.371487800988675</v>
          </cell>
          <cell r="P713">
            <v>70.371487800988675</v>
          </cell>
          <cell r="Q713">
            <v>70.371487800988675</v>
          </cell>
          <cell r="R713">
            <v>70.371487800988675</v>
          </cell>
          <cell r="S713">
            <v>70.371487800988675</v>
          </cell>
          <cell r="T713">
            <v>70.371487800988675</v>
          </cell>
          <cell r="U713">
            <v>70.371487800988675</v>
          </cell>
          <cell r="V713">
            <v>70.371487800988675</v>
          </cell>
          <cell r="W713">
            <v>70.371487800988675</v>
          </cell>
          <cell r="X713">
            <v>70.371487800988675</v>
          </cell>
          <cell r="Y713">
            <v>70.371487800988675</v>
          </cell>
          <cell r="Z713">
            <v>70.371487800988675</v>
          </cell>
          <cell r="AA713">
            <v>70.371487800988675</v>
          </cell>
          <cell r="AB713">
            <v>70.371487800988675</v>
          </cell>
          <cell r="AC713">
            <v>70.371487800988675</v>
          </cell>
          <cell r="AD713">
            <v>70.371487800988675</v>
          </cell>
          <cell r="AE713">
            <v>70.371487800988675</v>
          </cell>
          <cell r="AF713">
            <v>70.371487800988675</v>
          </cell>
          <cell r="AG713">
            <v>70.371487800988675</v>
          </cell>
          <cell r="AH713">
            <v>70.371487800988675</v>
          </cell>
          <cell r="AI713">
            <v>70.371487800988675</v>
          </cell>
          <cell r="AJ713">
            <v>70.371487800988675</v>
          </cell>
          <cell r="AK713">
            <v>70.371487800988675</v>
          </cell>
          <cell r="AL713">
            <v>70.371487800988675</v>
          </cell>
          <cell r="AM713">
            <v>70.371487800988675</v>
          </cell>
          <cell r="AN713">
            <v>70.371487800988675</v>
          </cell>
          <cell r="AO713">
            <v>70.371487800988675</v>
          </cell>
          <cell r="AP713">
            <v>70.371487800988675</v>
          </cell>
          <cell r="AQ713">
            <v>70.371487800988675</v>
          </cell>
          <cell r="AR713">
            <v>70.371487800988675</v>
          </cell>
          <cell r="AS713">
            <v>70.371487800988675</v>
          </cell>
          <cell r="AT713">
            <v>70.371487800988675</v>
          </cell>
        </row>
        <row r="714">
          <cell r="E714" t="str">
            <v>COGS</v>
          </cell>
          <cell r="F714" t="str">
            <v>[R$ '000]</v>
          </cell>
          <cell r="I714">
            <v>129788</v>
          </cell>
          <cell r="J714">
            <v>134012</v>
          </cell>
          <cell r="K714">
            <v>141081</v>
          </cell>
          <cell r="L714">
            <v>156775</v>
          </cell>
          <cell r="M714">
            <v>173797.43076270548</v>
          </cell>
          <cell r="N714">
            <v>196986.67792442389</v>
          </cell>
          <cell r="O714">
            <v>288207.67261883983</v>
          </cell>
          <cell r="P714">
            <v>660157.09467213578</v>
          </cell>
          <cell r="Q714">
            <v>661315.53295178828</v>
          </cell>
          <cell r="R714">
            <v>661320.85460903833</v>
          </cell>
          <cell r="S714">
            <v>661320.85460903833</v>
          </cell>
          <cell r="T714">
            <v>661320.85460903833</v>
          </cell>
          <cell r="U714">
            <v>661320.85460903833</v>
          </cell>
          <cell r="V714">
            <v>661320.85460903833</v>
          </cell>
          <cell r="W714">
            <v>661320.85460903833</v>
          </cell>
          <cell r="X714">
            <v>543057.67753135692</v>
          </cell>
          <cell r="Y714">
            <v>543052.17398730735</v>
          </cell>
          <cell r="Z714">
            <v>543052.17398730735</v>
          </cell>
          <cell r="AA714">
            <v>543052.17398730735</v>
          </cell>
          <cell r="AB714">
            <v>543052.17398730735</v>
          </cell>
          <cell r="AC714">
            <v>543052.17398730735</v>
          </cell>
          <cell r="AD714">
            <v>543052.17398730735</v>
          </cell>
          <cell r="AE714">
            <v>543052.17398730735</v>
          </cell>
          <cell r="AF714">
            <v>543052.17398730735</v>
          </cell>
          <cell r="AG714">
            <v>543052.17398730735</v>
          </cell>
          <cell r="AH714">
            <v>543052.17398730747</v>
          </cell>
          <cell r="AI714">
            <v>543052.17398730735</v>
          </cell>
          <cell r="AJ714">
            <v>647058.31523488392</v>
          </cell>
          <cell r="AK714">
            <v>648857.97778405074</v>
          </cell>
          <cell r="AL714">
            <v>648857.97778405098</v>
          </cell>
          <cell r="AM714">
            <v>648857.97778405098</v>
          </cell>
          <cell r="AN714">
            <v>648857.97778405098</v>
          </cell>
          <cell r="AO714">
            <v>648857.97778405086</v>
          </cell>
          <cell r="AP714">
            <v>498218.92193319945</v>
          </cell>
          <cell r="AQ714">
            <v>0</v>
          </cell>
          <cell r="AR714">
            <v>0</v>
          </cell>
          <cell r="AS714">
            <v>0</v>
          </cell>
          <cell r="AT714">
            <v>0</v>
          </cell>
        </row>
        <row r="717">
          <cell r="A717" t="str">
            <v>x</v>
          </cell>
          <cell r="B717">
            <v>10</v>
          </cell>
          <cell r="E717" t="str">
            <v>PP&amp;E</v>
          </cell>
          <cell r="I717">
            <v>2013</v>
          </cell>
          <cell r="J717">
            <v>2014</v>
          </cell>
          <cell r="K717">
            <v>2015</v>
          </cell>
          <cell r="L717">
            <v>2016</v>
          </cell>
          <cell r="M717">
            <v>2017</v>
          </cell>
          <cell r="N717">
            <v>2018</v>
          </cell>
          <cell r="O717">
            <v>2019</v>
          </cell>
          <cell r="P717">
            <v>2020</v>
          </cell>
          <cell r="Q717">
            <v>2021</v>
          </cell>
          <cell r="R717">
            <v>2022</v>
          </cell>
          <cell r="S717">
            <v>2023</v>
          </cell>
          <cell r="T717">
            <v>2024</v>
          </cell>
          <cell r="U717">
            <v>2025</v>
          </cell>
          <cell r="V717">
            <v>2026</v>
          </cell>
          <cell r="W717">
            <v>2027</v>
          </cell>
          <cell r="X717">
            <v>2028</v>
          </cell>
          <cell r="Y717">
            <v>2029</v>
          </cell>
          <cell r="Z717">
            <v>2030</v>
          </cell>
          <cell r="AA717">
            <v>2031</v>
          </cell>
          <cell r="AB717">
            <v>2032</v>
          </cell>
          <cell r="AC717">
            <v>2033</v>
          </cell>
          <cell r="AD717">
            <v>2034</v>
          </cell>
          <cell r="AE717">
            <v>2035</v>
          </cell>
          <cell r="AF717">
            <v>2036</v>
          </cell>
          <cell r="AG717">
            <v>2037</v>
          </cell>
          <cell r="AH717">
            <v>2038</v>
          </cell>
          <cell r="AI717">
            <v>2039</v>
          </cell>
          <cell r="AJ717">
            <v>2040</v>
          </cell>
          <cell r="AK717">
            <v>2041</v>
          </cell>
          <cell r="AL717">
            <v>2042</v>
          </cell>
          <cell r="AM717">
            <v>2043</v>
          </cell>
          <cell r="AN717">
            <v>2044</v>
          </cell>
          <cell r="AO717">
            <v>2045</v>
          </cell>
          <cell r="AP717">
            <v>2046</v>
          </cell>
          <cell r="AQ717">
            <v>2047</v>
          </cell>
          <cell r="AR717">
            <v>2048</v>
          </cell>
          <cell r="AS717">
            <v>2049</v>
          </cell>
          <cell r="AT717">
            <v>2050</v>
          </cell>
        </row>
        <row r="719">
          <cell r="E719" t="str">
            <v>Net PP&amp;E</v>
          </cell>
          <cell r="F719" t="str">
            <v>[R$ '000]</v>
          </cell>
          <cell r="I719">
            <v>193702</v>
          </cell>
          <cell r="J719">
            <v>194859</v>
          </cell>
          <cell r="K719">
            <v>199314</v>
          </cell>
          <cell r="L719">
            <v>194150</v>
          </cell>
          <cell r="M719">
            <v>186007.85</v>
          </cell>
          <cell r="N719">
            <v>261365.69999999998</v>
          </cell>
          <cell r="O719">
            <v>330223.54999999993</v>
          </cell>
          <cell r="P719">
            <v>308581.39999999991</v>
          </cell>
          <cell r="Q719">
            <v>286439.24999999988</v>
          </cell>
          <cell r="R719">
            <v>263797.09999999986</v>
          </cell>
          <cell r="S719">
            <v>240654.94999999984</v>
          </cell>
          <cell r="T719">
            <v>217012.79999999981</v>
          </cell>
          <cell r="U719">
            <v>192870.64999999979</v>
          </cell>
          <cell r="V719">
            <v>168228.49999999977</v>
          </cell>
          <cell r="W719">
            <v>143086.34999999974</v>
          </cell>
          <cell r="X719">
            <v>120142.1499999997</v>
          </cell>
          <cell r="Y719">
            <v>109142.1499999997</v>
          </cell>
          <cell r="Z719">
            <v>97642.149999999703</v>
          </cell>
          <cell r="AA719">
            <v>85642.149999999703</v>
          </cell>
          <cell r="AB719">
            <v>73642.149999999718</v>
          </cell>
          <cell r="AC719">
            <v>67642.149999999732</v>
          </cell>
          <cell r="AD719">
            <v>67642.149999999732</v>
          </cell>
          <cell r="AE719">
            <v>67642.149999999732</v>
          </cell>
          <cell r="AF719">
            <v>67642.149999999732</v>
          </cell>
          <cell r="AG719">
            <v>67642.149999999732</v>
          </cell>
          <cell r="AH719">
            <v>67642.149999999732</v>
          </cell>
          <cell r="AI719">
            <v>67642.149999999732</v>
          </cell>
          <cell r="AJ719">
            <v>67642.149999999732</v>
          </cell>
          <cell r="AK719">
            <v>67642.149999999732</v>
          </cell>
          <cell r="AL719">
            <v>67642.149999999732</v>
          </cell>
          <cell r="AM719">
            <v>67642.149999999732</v>
          </cell>
          <cell r="AN719">
            <v>67642.149999999732</v>
          </cell>
          <cell r="AO719">
            <v>67642.149999999732</v>
          </cell>
          <cell r="AP719">
            <v>67642.149999999732</v>
          </cell>
          <cell r="AQ719">
            <v>67642.149999999732</v>
          </cell>
          <cell r="AR719">
            <v>67642.149999999732</v>
          </cell>
          <cell r="AS719">
            <v>67642.149999999732</v>
          </cell>
          <cell r="AT719">
            <v>67642.149999999732</v>
          </cell>
        </row>
        <row r="720">
          <cell r="E720" t="str">
            <v>Gross Property, plant and equipment</v>
          </cell>
          <cell r="F720" t="str">
            <v>[R$ '000]</v>
          </cell>
          <cell r="I720">
            <v>256139</v>
          </cell>
          <cell r="J720">
            <v>272849</v>
          </cell>
          <cell r="K720">
            <v>292145</v>
          </cell>
          <cell r="L720">
            <v>302843</v>
          </cell>
          <cell r="M720">
            <v>310343</v>
          </cell>
          <cell r="N720">
            <v>407843</v>
          </cell>
          <cell r="O720">
            <v>505343</v>
          </cell>
          <cell r="P720">
            <v>512843</v>
          </cell>
          <cell r="Q720">
            <v>520343</v>
          </cell>
          <cell r="R720">
            <v>527843</v>
          </cell>
          <cell r="S720">
            <v>535343</v>
          </cell>
          <cell r="T720">
            <v>542843</v>
          </cell>
          <cell r="U720">
            <v>550343</v>
          </cell>
          <cell r="V720">
            <v>557843</v>
          </cell>
          <cell r="W720">
            <v>565343</v>
          </cell>
          <cell r="X720">
            <v>572843</v>
          </cell>
          <cell r="Y720">
            <v>580343</v>
          </cell>
          <cell r="Z720">
            <v>587843</v>
          </cell>
          <cell r="AA720">
            <v>595343</v>
          </cell>
          <cell r="AB720">
            <v>602843</v>
          </cell>
          <cell r="AC720">
            <v>610343</v>
          </cell>
          <cell r="AD720">
            <v>617843</v>
          </cell>
          <cell r="AE720">
            <v>625343</v>
          </cell>
          <cell r="AF720">
            <v>632843</v>
          </cell>
          <cell r="AG720">
            <v>640343</v>
          </cell>
          <cell r="AH720">
            <v>647843</v>
          </cell>
          <cell r="AI720">
            <v>655343</v>
          </cell>
          <cell r="AJ720">
            <v>662843</v>
          </cell>
          <cell r="AK720">
            <v>670343</v>
          </cell>
          <cell r="AL720">
            <v>677843</v>
          </cell>
          <cell r="AM720">
            <v>685343</v>
          </cell>
          <cell r="AN720">
            <v>692843</v>
          </cell>
          <cell r="AO720">
            <v>700343</v>
          </cell>
          <cell r="AP720">
            <v>707843</v>
          </cell>
          <cell r="AQ720">
            <v>707843</v>
          </cell>
          <cell r="AR720">
            <v>707843</v>
          </cell>
          <cell r="AS720">
            <v>707843</v>
          </cell>
          <cell r="AT720">
            <v>707843</v>
          </cell>
        </row>
        <row r="721">
          <cell r="E721" t="str">
            <v>Accmulated Depreciation</v>
          </cell>
          <cell r="F721" t="str">
            <v>[R$ '000]</v>
          </cell>
          <cell r="I721">
            <v>-62437</v>
          </cell>
          <cell r="J721">
            <v>-77990</v>
          </cell>
          <cell r="K721">
            <v>-92831</v>
          </cell>
          <cell r="L721">
            <v>-108693</v>
          </cell>
          <cell r="M721">
            <v>-124335.15</v>
          </cell>
          <cell r="N721">
            <v>-146477.29999999999</v>
          </cell>
          <cell r="O721">
            <v>-175119.45</v>
          </cell>
          <cell r="P721">
            <v>-204261.60000000003</v>
          </cell>
          <cell r="Q721">
            <v>-233903.75000000006</v>
          </cell>
          <cell r="R721">
            <v>-264045.90000000008</v>
          </cell>
          <cell r="S721">
            <v>-294688.0500000001</v>
          </cell>
          <cell r="T721">
            <v>-325830.20000000013</v>
          </cell>
          <cell r="U721">
            <v>-357472.35000000015</v>
          </cell>
          <cell r="V721">
            <v>-389614.50000000017</v>
          </cell>
          <cell r="W721">
            <v>-422256.6500000002</v>
          </cell>
          <cell r="X721">
            <v>-452700.85000000027</v>
          </cell>
          <cell r="Y721">
            <v>-471200.85000000027</v>
          </cell>
          <cell r="Z721">
            <v>-490200.85000000027</v>
          </cell>
          <cell r="AA721">
            <v>-509700.85000000027</v>
          </cell>
          <cell r="AB721">
            <v>-529200.85000000021</v>
          </cell>
          <cell r="AC721">
            <v>-542700.85000000021</v>
          </cell>
          <cell r="AD721">
            <v>-550200.85000000021</v>
          </cell>
          <cell r="AE721">
            <v>-557700.85000000021</v>
          </cell>
          <cell r="AF721">
            <v>-565200.85000000021</v>
          </cell>
          <cell r="AG721">
            <v>-572700.85000000021</v>
          </cell>
          <cell r="AH721">
            <v>-580200.85000000021</v>
          </cell>
          <cell r="AI721">
            <v>-587700.85000000021</v>
          </cell>
          <cell r="AJ721">
            <v>-595200.85000000021</v>
          </cell>
          <cell r="AK721">
            <v>-602700.85000000021</v>
          </cell>
          <cell r="AL721">
            <v>-610200.85000000021</v>
          </cell>
          <cell r="AM721">
            <v>-617700.85000000021</v>
          </cell>
          <cell r="AN721">
            <v>-625200.85000000021</v>
          </cell>
          <cell r="AO721">
            <v>-632700.85000000021</v>
          </cell>
          <cell r="AP721">
            <v>-640200.85000000021</v>
          </cell>
          <cell r="AQ721">
            <v>-640200.85000000021</v>
          </cell>
          <cell r="AR721">
            <v>-640200.85000000021</v>
          </cell>
          <cell r="AS721">
            <v>-640200.85000000021</v>
          </cell>
          <cell r="AT721">
            <v>-640200.85000000021</v>
          </cell>
        </row>
        <row r="722">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row>
        <row r="724">
          <cell r="E724" t="str">
            <v>Net PP&amp;E - BoP</v>
          </cell>
          <cell r="F724" t="str">
            <v>[R$'000]</v>
          </cell>
          <cell r="I724">
            <v>191738</v>
          </cell>
          <cell r="J724">
            <v>193702</v>
          </cell>
          <cell r="K724">
            <v>194859</v>
          </cell>
          <cell r="L724">
            <v>199314</v>
          </cell>
          <cell r="M724">
            <v>194150</v>
          </cell>
          <cell r="N724">
            <v>186007.85</v>
          </cell>
          <cell r="O724">
            <v>261365.69999999998</v>
          </cell>
          <cell r="P724">
            <v>330223.54999999993</v>
          </cell>
          <cell r="Q724">
            <v>308581.39999999991</v>
          </cell>
          <cell r="R724">
            <v>286439.24999999988</v>
          </cell>
          <cell r="S724">
            <v>263797.09999999986</v>
          </cell>
          <cell r="T724">
            <v>240654.94999999984</v>
          </cell>
          <cell r="U724">
            <v>217012.79999999981</v>
          </cell>
          <cell r="V724">
            <v>192870.64999999979</v>
          </cell>
          <cell r="W724">
            <v>168228.49999999977</v>
          </cell>
          <cell r="X724">
            <v>143086.34999999974</v>
          </cell>
          <cell r="Y724">
            <v>120142.1499999997</v>
          </cell>
          <cell r="Z724">
            <v>109142.1499999997</v>
          </cell>
          <cell r="AA724">
            <v>97642.149999999703</v>
          </cell>
          <cell r="AB724">
            <v>85642.149999999703</v>
          </cell>
          <cell r="AC724">
            <v>73642.149999999718</v>
          </cell>
          <cell r="AD724">
            <v>67642.149999999732</v>
          </cell>
          <cell r="AE724">
            <v>67642.149999999732</v>
          </cell>
          <cell r="AF724">
            <v>67642.149999999732</v>
          </cell>
          <cell r="AG724">
            <v>67642.149999999732</v>
          </cell>
          <cell r="AH724">
            <v>67642.149999999732</v>
          </cell>
          <cell r="AI724">
            <v>67642.149999999732</v>
          </cell>
          <cell r="AJ724">
            <v>67642.149999999732</v>
          </cell>
          <cell r="AK724">
            <v>67642.149999999732</v>
          </cell>
          <cell r="AL724">
            <v>67642.149999999732</v>
          </cell>
          <cell r="AM724">
            <v>67642.149999999732</v>
          </cell>
          <cell r="AN724">
            <v>67642.149999999732</v>
          </cell>
          <cell r="AO724">
            <v>67642.149999999732</v>
          </cell>
          <cell r="AP724">
            <v>67642.149999999732</v>
          </cell>
          <cell r="AQ724">
            <v>67642.149999999732</v>
          </cell>
          <cell r="AR724">
            <v>67642.149999999732</v>
          </cell>
          <cell r="AS724">
            <v>67642.149999999732</v>
          </cell>
          <cell r="AT724">
            <v>67642.149999999732</v>
          </cell>
        </row>
        <row r="725">
          <cell r="E725" t="str">
            <v>(+) Capex</v>
          </cell>
          <cell r="F725" t="str">
            <v>[R$'000]</v>
          </cell>
          <cell r="I725">
            <v>11940</v>
          </cell>
          <cell r="J725">
            <v>16390</v>
          </cell>
          <cell r="K725">
            <v>18814</v>
          </cell>
          <cell r="L725">
            <v>5596</v>
          </cell>
          <cell r="M725">
            <v>7500</v>
          </cell>
          <cell r="N725">
            <v>97500</v>
          </cell>
          <cell r="O725">
            <v>97500</v>
          </cell>
          <cell r="P725">
            <v>7500</v>
          </cell>
          <cell r="Q725">
            <v>7500</v>
          </cell>
          <cell r="R725">
            <v>7500</v>
          </cell>
          <cell r="S725">
            <v>7500</v>
          </cell>
          <cell r="T725">
            <v>7500</v>
          </cell>
          <cell r="U725">
            <v>7500</v>
          </cell>
          <cell r="V725">
            <v>7500</v>
          </cell>
          <cell r="W725">
            <v>7500</v>
          </cell>
          <cell r="X725">
            <v>7500</v>
          </cell>
          <cell r="Y725">
            <v>7500</v>
          </cell>
          <cell r="Z725">
            <v>7500</v>
          </cell>
          <cell r="AA725">
            <v>7500</v>
          </cell>
          <cell r="AB725">
            <v>7500</v>
          </cell>
          <cell r="AC725">
            <v>7500</v>
          </cell>
          <cell r="AD725">
            <v>7500</v>
          </cell>
          <cell r="AE725">
            <v>7500</v>
          </cell>
          <cell r="AF725">
            <v>7500</v>
          </cell>
          <cell r="AG725">
            <v>7500</v>
          </cell>
          <cell r="AH725">
            <v>7500</v>
          </cell>
          <cell r="AI725">
            <v>7500</v>
          </cell>
          <cell r="AJ725">
            <v>7500</v>
          </cell>
          <cell r="AK725">
            <v>7500</v>
          </cell>
          <cell r="AL725">
            <v>7500</v>
          </cell>
          <cell r="AM725">
            <v>7500</v>
          </cell>
          <cell r="AN725">
            <v>7500</v>
          </cell>
          <cell r="AO725">
            <v>7500</v>
          </cell>
          <cell r="AP725">
            <v>7500</v>
          </cell>
          <cell r="AQ725">
            <v>0</v>
          </cell>
          <cell r="AR725">
            <v>0</v>
          </cell>
          <cell r="AS725">
            <v>0</v>
          </cell>
          <cell r="AT725">
            <v>0</v>
          </cell>
        </row>
        <row r="726">
          <cell r="E726" t="str">
            <v>(+) Mine closing</v>
          </cell>
          <cell r="F726" t="str">
            <v>[R$'000]</v>
          </cell>
          <cell r="I726">
            <v>3956</v>
          </cell>
          <cell r="J726">
            <v>320</v>
          </cell>
          <cell r="K726">
            <v>482</v>
          </cell>
          <cell r="L726">
            <v>5102</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row>
        <row r="727">
          <cell r="E727" t="str">
            <v>(-) Depreciation of mine closing</v>
          </cell>
          <cell r="F727" t="str">
            <v>[R$'000]</v>
          </cell>
          <cell r="I727">
            <v>-1131</v>
          </cell>
          <cell r="J727">
            <v>-1686</v>
          </cell>
          <cell r="K727">
            <v>-1406</v>
          </cell>
          <cell r="L727">
            <v>-1375</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row>
        <row r="728">
          <cell r="E728" t="str">
            <v>(-) Depreciation</v>
          </cell>
          <cell r="F728" t="str">
            <v>[R$'000]</v>
          </cell>
          <cell r="I728">
            <v>-12801</v>
          </cell>
          <cell r="J728">
            <v>-13867</v>
          </cell>
          <cell r="K728">
            <v>-13435</v>
          </cell>
          <cell r="L728">
            <v>-14487</v>
          </cell>
          <cell r="M728">
            <v>-15642.150000000001</v>
          </cell>
          <cell r="N728">
            <v>-22142.150000000005</v>
          </cell>
          <cell r="O728">
            <v>-28642.150000000009</v>
          </cell>
          <cell r="P728">
            <v>-29142.150000000009</v>
          </cell>
          <cell r="Q728">
            <v>-29642.150000000009</v>
          </cell>
          <cell r="R728">
            <v>-30142.150000000009</v>
          </cell>
          <cell r="S728">
            <v>-30642.150000000009</v>
          </cell>
          <cell r="T728">
            <v>-31142.150000000009</v>
          </cell>
          <cell r="U728">
            <v>-31642.150000000009</v>
          </cell>
          <cell r="V728">
            <v>-32142.150000000009</v>
          </cell>
          <cell r="W728">
            <v>-32642.150000000009</v>
          </cell>
          <cell r="X728">
            <v>-30444.200000000048</v>
          </cell>
          <cell r="Y728">
            <v>-18500.000000000007</v>
          </cell>
          <cell r="Z728">
            <v>-19000.000000000007</v>
          </cell>
          <cell r="AA728">
            <v>-19500.000000000007</v>
          </cell>
          <cell r="AB728">
            <v>-19499.999999999989</v>
          </cell>
          <cell r="AC728">
            <v>-13499.999999999985</v>
          </cell>
          <cell r="AD728">
            <v>-7500</v>
          </cell>
          <cell r="AE728">
            <v>-7500</v>
          </cell>
          <cell r="AF728">
            <v>-7500</v>
          </cell>
          <cell r="AG728">
            <v>-7500</v>
          </cell>
          <cell r="AH728">
            <v>-7500</v>
          </cell>
          <cell r="AI728">
            <v>-7500</v>
          </cell>
          <cell r="AJ728">
            <v>-7500</v>
          </cell>
          <cell r="AK728">
            <v>-7500</v>
          </cell>
          <cell r="AL728">
            <v>-7500</v>
          </cell>
          <cell r="AM728">
            <v>-7500</v>
          </cell>
          <cell r="AN728">
            <v>-7500</v>
          </cell>
          <cell r="AO728">
            <v>-7500</v>
          </cell>
          <cell r="AP728">
            <v>-7500</v>
          </cell>
          <cell r="AQ728">
            <v>0</v>
          </cell>
          <cell r="AR728">
            <v>0</v>
          </cell>
          <cell r="AS728">
            <v>0</v>
          </cell>
          <cell r="AT728">
            <v>0</v>
          </cell>
        </row>
        <row r="729">
          <cell r="E729" t="str">
            <v>Net PP&amp;E - EoP</v>
          </cell>
          <cell r="F729" t="str">
            <v>[R$'000]</v>
          </cell>
          <cell r="I729">
            <v>193702</v>
          </cell>
          <cell r="J729">
            <v>194859</v>
          </cell>
          <cell r="K729">
            <v>199314</v>
          </cell>
          <cell r="L729">
            <v>194150</v>
          </cell>
          <cell r="M729">
            <v>186007.85</v>
          </cell>
          <cell r="N729">
            <v>261365.69999999998</v>
          </cell>
          <cell r="O729">
            <v>330223.54999999993</v>
          </cell>
          <cell r="P729">
            <v>308581.39999999991</v>
          </cell>
          <cell r="Q729">
            <v>286439.24999999988</v>
          </cell>
          <cell r="R729">
            <v>263797.09999999986</v>
          </cell>
          <cell r="S729">
            <v>240654.94999999984</v>
          </cell>
          <cell r="T729">
            <v>217012.79999999981</v>
          </cell>
          <cell r="U729">
            <v>192870.64999999979</v>
          </cell>
          <cell r="V729">
            <v>168228.49999999977</v>
          </cell>
          <cell r="W729">
            <v>143086.34999999974</v>
          </cell>
          <cell r="X729">
            <v>120142.1499999997</v>
          </cell>
          <cell r="Y729">
            <v>109142.1499999997</v>
          </cell>
          <cell r="Z729">
            <v>97642.149999999703</v>
          </cell>
          <cell r="AA729">
            <v>85642.149999999703</v>
          </cell>
          <cell r="AB729">
            <v>73642.149999999718</v>
          </cell>
          <cell r="AC729">
            <v>67642.149999999732</v>
          </cell>
          <cell r="AD729">
            <v>67642.149999999732</v>
          </cell>
          <cell r="AE729">
            <v>67642.149999999732</v>
          </cell>
          <cell r="AF729">
            <v>67642.149999999732</v>
          </cell>
          <cell r="AG729">
            <v>67642.149999999732</v>
          </cell>
          <cell r="AH729">
            <v>67642.149999999732</v>
          </cell>
          <cell r="AI729">
            <v>67642.149999999732</v>
          </cell>
          <cell r="AJ729">
            <v>67642.149999999732</v>
          </cell>
          <cell r="AK729">
            <v>67642.149999999732</v>
          </cell>
          <cell r="AL729">
            <v>67642.149999999732</v>
          </cell>
          <cell r="AM729">
            <v>67642.149999999732</v>
          </cell>
          <cell r="AN729">
            <v>67642.149999999732</v>
          </cell>
          <cell r="AO729">
            <v>67642.149999999732</v>
          </cell>
          <cell r="AP729">
            <v>67642.149999999732</v>
          </cell>
          <cell r="AQ729">
            <v>67642.149999999732</v>
          </cell>
          <cell r="AR729">
            <v>67642.149999999732</v>
          </cell>
          <cell r="AS729">
            <v>67642.149999999732</v>
          </cell>
          <cell r="AT729">
            <v>67642.149999999732</v>
          </cell>
        </row>
        <row r="730">
          <cell r="I730">
            <v>-6.6762978647946683E-2</v>
          </cell>
          <cell r="J730">
            <v>-7.1589348587004775E-2</v>
          </cell>
          <cell r="K730">
            <v>-6.8947290091809971E-2</v>
          </cell>
          <cell r="L730">
            <v>-7.2684307173605467E-2</v>
          </cell>
        </row>
        <row r="732">
          <cell r="E732" t="str">
            <v>Capex</v>
          </cell>
          <cell r="F732" t="str">
            <v>[R$'000]</v>
          </cell>
          <cell r="G732" t="str">
            <v>Expansion</v>
          </cell>
          <cell r="I732">
            <v>11940</v>
          </cell>
          <cell r="J732">
            <v>16390</v>
          </cell>
          <cell r="K732">
            <v>18814</v>
          </cell>
          <cell r="L732">
            <v>5596</v>
          </cell>
          <cell r="M732">
            <v>7500</v>
          </cell>
          <cell r="N732">
            <v>97500</v>
          </cell>
          <cell r="O732">
            <v>97500</v>
          </cell>
          <cell r="P732">
            <v>7500</v>
          </cell>
          <cell r="Q732">
            <v>7500</v>
          </cell>
          <cell r="R732">
            <v>7500</v>
          </cell>
          <cell r="S732">
            <v>7500</v>
          </cell>
          <cell r="T732">
            <v>7500</v>
          </cell>
          <cell r="U732">
            <v>7500</v>
          </cell>
          <cell r="V732">
            <v>7500</v>
          </cell>
          <cell r="W732">
            <v>7500</v>
          </cell>
          <cell r="X732">
            <v>7500</v>
          </cell>
          <cell r="Y732">
            <v>7500</v>
          </cell>
          <cell r="Z732">
            <v>7500</v>
          </cell>
          <cell r="AA732">
            <v>7500</v>
          </cell>
          <cell r="AB732">
            <v>7500</v>
          </cell>
          <cell r="AC732">
            <v>7500</v>
          </cell>
          <cell r="AD732">
            <v>7500</v>
          </cell>
          <cell r="AE732">
            <v>7500</v>
          </cell>
          <cell r="AF732">
            <v>7500</v>
          </cell>
          <cell r="AG732">
            <v>7500</v>
          </cell>
          <cell r="AH732">
            <v>7500</v>
          </cell>
          <cell r="AI732">
            <v>7500</v>
          </cell>
          <cell r="AJ732">
            <v>7500</v>
          </cell>
          <cell r="AK732">
            <v>7500</v>
          </cell>
          <cell r="AL732">
            <v>7500</v>
          </cell>
          <cell r="AM732">
            <v>7500</v>
          </cell>
          <cell r="AN732">
            <v>7500</v>
          </cell>
          <cell r="AO732">
            <v>7500</v>
          </cell>
          <cell r="AP732">
            <v>7500</v>
          </cell>
          <cell r="AQ732">
            <v>0</v>
          </cell>
          <cell r="AR732">
            <v>0</v>
          </cell>
          <cell r="AS732">
            <v>0</v>
          </cell>
          <cell r="AT732">
            <v>0</v>
          </cell>
        </row>
        <row r="733">
          <cell r="E733" t="str">
            <v>Expansion Capex</v>
          </cell>
          <cell r="F733" t="str">
            <v>[R$'000]</v>
          </cell>
          <cell r="G733">
            <v>1</v>
          </cell>
          <cell r="I733">
            <v>0</v>
          </cell>
          <cell r="J733">
            <v>0</v>
          </cell>
          <cell r="K733">
            <v>0</v>
          </cell>
          <cell r="L733">
            <v>0</v>
          </cell>
          <cell r="M733">
            <v>0</v>
          </cell>
          <cell r="N733">
            <v>90000</v>
          </cell>
          <cell r="O733">
            <v>90000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row>
        <row r="734">
          <cell r="E734" t="str">
            <v>Maintenance Capex</v>
          </cell>
          <cell r="F734" t="str">
            <v>[R$'000]</v>
          </cell>
          <cell r="I734">
            <v>11940</v>
          </cell>
          <cell r="J734">
            <v>16390</v>
          </cell>
          <cell r="K734">
            <v>18814</v>
          </cell>
          <cell r="L734">
            <v>5596</v>
          </cell>
          <cell r="M734">
            <v>7500</v>
          </cell>
          <cell r="N734">
            <v>7500</v>
          </cell>
          <cell r="O734">
            <v>7500</v>
          </cell>
          <cell r="P734">
            <v>7500</v>
          </cell>
          <cell r="Q734">
            <v>7500</v>
          </cell>
          <cell r="R734">
            <v>7500</v>
          </cell>
          <cell r="S734">
            <v>7500</v>
          </cell>
          <cell r="T734">
            <v>7500</v>
          </cell>
          <cell r="U734">
            <v>7500</v>
          </cell>
          <cell r="V734">
            <v>7500</v>
          </cell>
          <cell r="W734">
            <v>7500</v>
          </cell>
          <cell r="X734">
            <v>7500</v>
          </cell>
          <cell r="Y734">
            <v>7500</v>
          </cell>
          <cell r="Z734">
            <v>7500</v>
          </cell>
          <cell r="AA734">
            <v>7500</v>
          </cell>
          <cell r="AB734">
            <v>7500</v>
          </cell>
          <cell r="AC734">
            <v>7500</v>
          </cell>
          <cell r="AD734">
            <v>7500</v>
          </cell>
          <cell r="AE734">
            <v>7500</v>
          </cell>
          <cell r="AF734">
            <v>7500</v>
          </cell>
          <cell r="AG734">
            <v>7500</v>
          </cell>
          <cell r="AH734">
            <v>7500</v>
          </cell>
          <cell r="AI734">
            <v>7500</v>
          </cell>
          <cell r="AJ734">
            <v>7500</v>
          </cell>
          <cell r="AK734">
            <v>7500</v>
          </cell>
          <cell r="AL734">
            <v>7500</v>
          </cell>
          <cell r="AM734">
            <v>7500</v>
          </cell>
          <cell r="AN734">
            <v>7500</v>
          </cell>
          <cell r="AO734">
            <v>7500</v>
          </cell>
          <cell r="AP734">
            <v>7500</v>
          </cell>
          <cell r="AQ734">
            <v>0</v>
          </cell>
          <cell r="AR734">
            <v>0</v>
          </cell>
          <cell r="AS734">
            <v>0</v>
          </cell>
          <cell r="AT734">
            <v>0</v>
          </cell>
        </row>
        <row r="737">
          <cell r="E737" t="str">
            <v>Depreciation of existing PP&amp;E</v>
          </cell>
        </row>
        <row r="738">
          <cell r="E738" t="str">
            <v>Existing PP&amp;E - EoP</v>
          </cell>
          <cell r="F738" t="str">
            <v>[R$'000]</v>
          </cell>
          <cell r="L738">
            <v>194150</v>
          </cell>
          <cell r="M738">
            <v>179007.85</v>
          </cell>
          <cell r="N738">
            <v>163865.70000000001</v>
          </cell>
          <cell r="O738">
            <v>148723.55000000002</v>
          </cell>
          <cell r="P738">
            <v>133581.40000000002</v>
          </cell>
          <cell r="Q738">
            <v>118439.25000000003</v>
          </cell>
          <cell r="R738">
            <v>103297.10000000003</v>
          </cell>
          <cell r="S738">
            <v>88154.950000000041</v>
          </cell>
          <cell r="T738">
            <v>73012.800000000047</v>
          </cell>
          <cell r="U738">
            <v>57870.650000000045</v>
          </cell>
          <cell r="V738">
            <v>42728.500000000044</v>
          </cell>
          <cell r="W738">
            <v>27586.350000000042</v>
          </cell>
          <cell r="X738">
            <v>12444.200000000041</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row>
        <row r="739">
          <cell r="E739" t="str">
            <v>(-) Depreciation</v>
          </cell>
          <cell r="F739" t="str">
            <v>[R$'000]</v>
          </cell>
          <cell r="G739">
            <v>0.05</v>
          </cell>
          <cell r="L739">
            <v>-15142.150000000001</v>
          </cell>
          <cell r="M739">
            <v>-15142.150000000001</v>
          </cell>
          <cell r="N739">
            <v>-15142.150000000001</v>
          </cell>
          <cell r="O739">
            <v>-15142.150000000001</v>
          </cell>
          <cell r="P739">
            <v>-15142.150000000001</v>
          </cell>
          <cell r="Q739">
            <v>-15142.150000000001</v>
          </cell>
          <cell r="R739">
            <v>-15142.150000000001</v>
          </cell>
          <cell r="S739">
            <v>-15142.150000000001</v>
          </cell>
          <cell r="T739">
            <v>-15142.150000000001</v>
          </cell>
          <cell r="U739">
            <v>-15142.150000000001</v>
          </cell>
          <cell r="V739">
            <v>-15142.150000000001</v>
          </cell>
          <cell r="W739">
            <v>-15142.150000000001</v>
          </cell>
          <cell r="X739">
            <v>-12444.200000000041</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row>
        <row r="742">
          <cell r="E742" t="str">
            <v>Depreciation Schedule - 15Y</v>
          </cell>
          <cell r="F742" t="str">
            <v>[%]</v>
          </cell>
          <cell r="G742">
            <v>6.6666666666666693E-2</v>
          </cell>
        </row>
        <row r="743">
          <cell r="F743">
            <v>2017</v>
          </cell>
          <cell r="G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row>
        <row r="744">
          <cell r="F744">
            <v>2018</v>
          </cell>
          <cell r="G744">
            <v>90000</v>
          </cell>
          <cell r="M744">
            <v>0</v>
          </cell>
          <cell r="N744">
            <v>6000.0000000000027</v>
          </cell>
          <cell r="O744">
            <v>6000.0000000000027</v>
          </cell>
          <cell r="P744">
            <v>6000.0000000000027</v>
          </cell>
          <cell r="Q744">
            <v>6000.0000000000027</v>
          </cell>
          <cell r="R744">
            <v>6000.0000000000027</v>
          </cell>
          <cell r="S744">
            <v>6000.0000000000027</v>
          </cell>
          <cell r="T744">
            <v>6000.0000000000027</v>
          </cell>
          <cell r="U744">
            <v>6000.0000000000027</v>
          </cell>
          <cell r="V744">
            <v>6000.0000000000027</v>
          </cell>
          <cell r="W744">
            <v>6000.0000000000027</v>
          </cell>
          <cell r="X744">
            <v>6000.0000000000027</v>
          </cell>
          <cell r="Y744">
            <v>6000.0000000000027</v>
          </cell>
          <cell r="Z744">
            <v>6000.0000000000027</v>
          </cell>
          <cell r="AA744">
            <v>6000.0000000000027</v>
          </cell>
          <cell r="AB744">
            <v>5999.9999999999854</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row>
        <row r="745">
          <cell r="F745">
            <v>2019</v>
          </cell>
          <cell r="G745">
            <v>90000</v>
          </cell>
          <cell r="M745">
            <v>0</v>
          </cell>
          <cell r="N745">
            <v>0</v>
          </cell>
          <cell r="O745">
            <v>6000.0000000000027</v>
          </cell>
          <cell r="P745">
            <v>6000.0000000000027</v>
          </cell>
          <cell r="Q745">
            <v>6000.0000000000027</v>
          </cell>
          <cell r="R745">
            <v>6000.0000000000027</v>
          </cell>
          <cell r="S745">
            <v>6000.0000000000027</v>
          </cell>
          <cell r="T745">
            <v>6000.0000000000027</v>
          </cell>
          <cell r="U745">
            <v>6000.0000000000027</v>
          </cell>
          <cell r="V745">
            <v>6000.0000000000027</v>
          </cell>
          <cell r="W745">
            <v>6000.0000000000027</v>
          </cell>
          <cell r="X745">
            <v>6000.0000000000027</v>
          </cell>
          <cell r="Y745">
            <v>6000.0000000000027</v>
          </cell>
          <cell r="Z745">
            <v>6000.0000000000027</v>
          </cell>
          <cell r="AA745">
            <v>6000.0000000000027</v>
          </cell>
          <cell r="AB745">
            <v>6000.0000000000027</v>
          </cell>
          <cell r="AC745">
            <v>5999.9999999999854</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row>
        <row r="746">
          <cell r="F746">
            <v>2020</v>
          </cell>
          <cell r="G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row>
        <row r="747">
          <cell r="F747">
            <v>2021</v>
          </cell>
          <cell r="G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row>
        <row r="748">
          <cell r="F748">
            <v>2022</v>
          </cell>
          <cell r="G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row>
        <row r="749">
          <cell r="F749">
            <v>2023</v>
          </cell>
          <cell r="G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row>
        <row r="750">
          <cell r="F750">
            <v>2024</v>
          </cell>
          <cell r="G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row>
        <row r="751">
          <cell r="F751">
            <v>2025</v>
          </cell>
          <cell r="G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row>
        <row r="752">
          <cell r="F752">
            <v>2026</v>
          </cell>
          <cell r="G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row>
        <row r="753">
          <cell r="F753">
            <v>2027</v>
          </cell>
          <cell r="G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row>
        <row r="754">
          <cell r="F754">
            <v>2028</v>
          </cell>
          <cell r="G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row>
        <row r="755">
          <cell r="F755">
            <v>2029</v>
          </cell>
          <cell r="G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row>
        <row r="756">
          <cell r="F756">
            <v>2030</v>
          </cell>
          <cell r="G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row>
        <row r="757">
          <cell r="F757">
            <v>2031</v>
          </cell>
          <cell r="G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row>
        <row r="758">
          <cell r="F758">
            <v>2032</v>
          </cell>
          <cell r="G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row>
        <row r="759">
          <cell r="F759">
            <v>2033</v>
          </cell>
          <cell r="G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row>
        <row r="760">
          <cell r="F760">
            <v>2034</v>
          </cell>
          <cell r="G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row>
        <row r="761">
          <cell r="F761">
            <v>2035</v>
          </cell>
          <cell r="G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row>
        <row r="762">
          <cell r="F762">
            <v>2036</v>
          </cell>
          <cell r="G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row>
        <row r="763">
          <cell r="F763">
            <v>2037</v>
          </cell>
          <cell r="G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row>
        <row r="764">
          <cell r="F764">
            <v>2038</v>
          </cell>
          <cell r="G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row>
        <row r="765">
          <cell r="F765">
            <v>2039</v>
          </cell>
          <cell r="G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row>
        <row r="766">
          <cell r="F766">
            <v>2040</v>
          </cell>
          <cell r="G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row>
        <row r="767">
          <cell r="F767">
            <v>2041</v>
          </cell>
          <cell r="G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row>
        <row r="768">
          <cell r="F768">
            <v>2042</v>
          </cell>
          <cell r="G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row>
        <row r="769">
          <cell r="F769">
            <v>2043</v>
          </cell>
          <cell r="G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row>
        <row r="770">
          <cell r="F770">
            <v>2044</v>
          </cell>
          <cell r="G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row>
        <row r="771">
          <cell r="F771">
            <v>2045</v>
          </cell>
          <cell r="G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row>
        <row r="772">
          <cell r="F772">
            <v>2046</v>
          </cell>
          <cell r="G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row>
        <row r="773">
          <cell r="F773">
            <v>2047</v>
          </cell>
          <cell r="G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row>
        <row r="774">
          <cell r="F774">
            <v>2048</v>
          </cell>
          <cell r="G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row>
        <row r="775">
          <cell r="F775">
            <v>2049</v>
          </cell>
          <cell r="G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row>
        <row r="776">
          <cell r="F776">
            <v>2050</v>
          </cell>
          <cell r="G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row>
        <row r="777">
          <cell r="M777">
            <v>0</v>
          </cell>
          <cell r="N777">
            <v>-6000.0000000000027</v>
          </cell>
          <cell r="O777">
            <v>-12000.000000000005</v>
          </cell>
          <cell r="P777">
            <v>-12000.000000000005</v>
          </cell>
          <cell r="Q777">
            <v>-12000.000000000005</v>
          </cell>
          <cell r="R777">
            <v>-12000.000000000005</v>
          </cell>
          <cell r="S777">
            <v>-12000.000000000005</v>
          </cell>
          <cell r="T777">
            <v>-12000.000000000005</v>
          </cell>
          <cell r="U777">
            <v>-12000.000000000005</v>
          </cell>
          <cell r="V777">
            <v>-12000.000000000005</v>
          </cell>
          <cell r="W777">
            <v>-12000.000000000005</v>
          </cell>
          <cell r="X777">
            <v>-12000.000000000005</v>
          </cell>
          <cell r="Y777">
            <v>-12000.000000000005</v>
          </cell>
          <cell r="Z777">
            <v>-12000.000000000005</v>
          </cell>
          <cell r="AA777">
            <v>-12000.000000000005</v>
          </cell>
          <cell r="AB777">
            <v>-11999.999999999989</v>
          </cell>
          <cell r="AC777">
            <v>-5999.9999999999854</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row>
        <row r="780">
          <cell r="E780" t="str">
            <v>Depreciation Schedule - 7Y</v>
          </cell>
          <cell r="F780" t="str">
            <v>[%]</v>
          </cell>
          <cell r="G780">
            <v>0.15</v>
          </cell>
        </row>
        <row r="781">
          <cell r="F781">
            <v>2017</v>
          </cell>
          <cell r="G781">
            <v>7500</v>
          </cell>
          <cell r="M781">
            <v>500.00000000000023</v>
          </cell>
          <cell r="N781">
            <v>500.00000000000023</v>
          </cell>
          <cell r="O781">
            <v>500.00000000000023</v>
          </cell>
          <cell r="P781">
            <v>500.00000000000023</v>
          </cell>
          <cell r="Q781">
            <v>500.00000000000023</v>
          </cell>
          <cell r="R781">
            <v>500.00000000000023</v>
          </cell>
          <cell r="S781">
            <v>500.00000000000023</v>
          </cell>
          <cell r="T781">
            <v>500.00000000000023</v>
          </cell>
          <cell r="U781">
            <v>500.00000000000023</v>
          </cell>
          <cell r="V781">
            <v>500.00000000000023</v>
          </cell>
          <cell r="W781">
            <v>500.00000000000023</v>
          </cell>
          <cell r="X781">
            <v>500.00000000000023</v>
          </cell>
          <cell r="Y781">
            <v>500.00000000000023</v>
          </cell>
          <cell r="Z781">
            <v>500.00000000000023</v>
          </cell>
          <cell r="AA781">
            <v>499.99999999999909</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row>
        <row r="782">
          <cell r="F782">
            <v>2018</v>
          </cell>
          <cell r="G782">
            <v>7500</v>
          </cell>
          <cell r="M782">
            <v>0</v>
          </cell>
          <cell r="N782">
            <v>500.00000000000023</v>
          </cell>
          <cell r="O782">
            <v>500.00000000000023</v>
          </cell>
          <cell r="P782">
            <v>500.00000000000023</v>
          </cell>
          <cell r="Q782">
            <v>500.00000000000023</v>
          </cell>
          <cell r="R782">
            <v>500.00000000000023</v>
          </cell>
          <cell r="S782">
            <v>500.00000000000023</v>
          </cell>
          <cell r="T782">
            <v>500.00000000000023</v>
          </cell>
          <cell r="U782">
            <v>500.00000000000023</v>
          </cell>
          <cell r="V782">
            <v>500.00000000000023</v>
          </cell>
          <cell r="W782">
            <v>500.00000000000023</v>
          </cell>
          <cell r="X782">
            <v>500.00000000000023</v>
          </cell>
          <cell r="Y782">
            <v>500.00000000000023</v>
          </cell>
          <cell r="Z782">
            <v>500.00000000000023</v>
          </cell>
          <cell r="AA782">
            <v>500.00000000000023</v>
          </cell>
          <cell r="AB782">
            <v>499.99999999999909</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row>
        <row r="783">
          <cell r="F783">
            <v>2019</v>
          </cell>
          <cell r="G783">
            <v>7500</v>
          </cell>
          <cell r="M783">
            <v>0</v>
          </cell>
          <cell r="N783">
            <v>0</v>
          </cell>
          <cell r="O783">
            <v>500.00000000000023</v>
          </cell>
          <cell r="P783">
            <v>500.00000000000023</v>
          </cell>
          <cell r="Q783">
            <v>500.00000000000023</v>
          </cell>
          <cell r="R783">
            <v>500.00000000000023</v>
          </cell>
          <cell r="S783">
            <v>500.00000000000023</v>
          </cell>
          <cell r="T783">
            <v>500.00000000000023</v>
          </cell>
          <cell r="U783">
            <v>500.00000000000023</v>
          </cell>
          <cell r="V783">
            <v>500.00000000000023</v>
          </cell>
          <cell r="W783">
            <v>500.00000000000023</v>
          </cell>
          <cell r="X783">
            <v>500.00000000000023</v>
          </cell>
          <cell r="Y783">
            <v>500.00000000000023</v>
          </cell>
          <cell r="Z783">
            <v>500.00000000000023</v>
          </cell>
          <cell r="AA783">
            <v>500.00000000000023</v>
          </cell>
          <cell r="AB783">
            <v>500.00000000000023</v>
          </cell>
          <cell r="AC783">
            <v>499.99999999999909</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row>
        <row r="784">
          <cell r="F784">
            <v>2020</v>
          </cell>
          <cell r="G784">
            <v>7500</v>
          </cell>
          <cell r="M784">
            <v>0</v>
          </cell>
          <cell r="N784">
            <v>0</v>
          </cell>
          <cell r="O784">
            <v>0</v>
          </cell>
          <cell r="P784">
            <v>500.00000000000023</v>
          </cell>
          <cell r="Q784">
            <v>500.00000000000023</v>
          </cell>
          <cell r="R784">
            <v>500.00000000000023</v>
          </cell>
          <cell r="S784">
            <v>500.00000000000023</v>
          </cell>
          <cell r="T784">
            <v>500.00000000000023</v>
          </cell>
          <cell r="U784">
            <v>500.00000000000023</v>
          </cell>
          <cell r="V784">
            <v>500.00000000000023</v>
          </cell>
          <cell r="W784">
            <v>500.00000000000023</v>
          </cell>
          <cell r="X784">
            <v>500.00000000000023</v>
          </cell>
          <cell r="Y784">
            <v>500.00000000000023</v>
          </cell>
          <cell r="Z784">
            <v>500.00000000000023</v>
          </cell>
          <cell r="AA784">
            <v>500.00000000000023</v>
          </cell>
          <cell r="AB784">
            <v>500.00000000000023</v>
          </cell>
          <cell r="AC784">
            <v>500.00000000000023</v>
          </cell>
          <cell r="AD784">
            <v>499.99999999999909</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row>
        <row r="785">
          <cell r="F785">
            <v>2021</v>
          </cell>
          <cell r="G785">
            <v>7500</v>
          </cell>
          <cell r="M785">
            <v>0</v>
          </cell>
          <cell r="N785">
            <v>0</v>
          </cell>
          <cell r="O785">
            <v>0</v>
          </cell>
          <cell r="P785">
            <v>0</v>
          </cell>
          <cell r="Q785">
            <v>500.00000000000023</v>
          </cell>
          <cell r="R785">
            <v>500.00000000000023</v>
          </cell>
          <cell r="S785">
            <v>500.00000000000023</v>
          </cell>
          <cell r="T785">
            <v>500.00000000000023</v>
          </cell>
          <cell r="U785">
            <v>500.00000000000023</v>
          </cell>
          <cell r="V785">
            <v>500.00000000000023</v>
          </cell>
          <cell r="W785">
            <v>500.00000000000023</v>
          </cell>
          <cell r="X785">
            <v>500.00000000000023</v>
          </cell>
          <cell r="Y785">
            <v>500.00000000000023</v>
          </cell>
          <cell r="Z785">
            <v>500.00000000000023</v>
          </cell>
          <cell r="AA785">
            <v>500.00000000000023</v>
          </cell>
          <cell r="AB785">
            <v>500.00000000000023</v>
          </cell>
          <cell r="AC785">
            <v>500.00000000000023</v>
          </cell>
          <cell r="AD785">
            <v>500.00000000000023</v>
          </cell>
          <cell r="AE785">
            <v>499.99999999999909</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row>
        <row r="786">
          <cell r="F786">
            <v>2022</v>
          </cell>
          <cell r="G786">
            <v>7500</v>
          </cell>
          <cell r="M786">
            <v>0</v>
          </cell>
          <cell r="N786">
            <v>0</v>
          </cell>
          <cell r="O786">
            <v>0</v>
          </cell>
          <cell r="P786">
            <v>0</v>
          </cell>
          <cell r="Q786">
            <v>0</v>
          </cell>
          <cell r="R786">
            <v>500.00000000000023</v>
          </cell>
          <cell r="S786">
            <v>500.00000000000023</v>
          </cell>
          <cell r="T786">
            <v>500.00000000000023</v>
          </cell>
          <cell r="U786">
            <v>500.00000000000023</v>
          </cell>
          <cell r="V786">
            <v>500.00000000000023</v>
          </cell>
          <cell r="W786">
            <v>500.00000000000023</v>
          </cell>
          <cell r="X786">
            <v>500.00000000000023</v>
          </cell>
          <cell r="Y786">
            <v>500.00000000000023</v>
          </cell>
          <cell r="Z786">
            <v>500.00000000000023</v>
          </cell>
          <cell r="AA786">
            <v>500.00000000000023</v>
          </cell>
          <cell r="AB786">
            <v>500.00000000000023</v>
          </cell>
          <cell r="AC786">
            <v>500.00000000000023</v>
          </cell>
          <cell r="AD786">
            <v>500.00000000000023</v>
          </cell>
          <cell r="AE786">
            <v>500.00000000000023</v>
          </cell>
          <cell r="AF786">
            <v>499.99999999999909</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row>
        <row r="787">
          <cell r="F787">
            <v>2023</v>
          </cell>
          <cell r="G787">
            <v>7500</v>
          </cell>
          <cell r="M787">
            <v>0</v>
          </cell>
          <cell r="N787">
            <v>0</v>
          </cell>
          <cell r="O787">
            <v>0</v>
          </cell>
          <cell r="P787">
            <v>0</v>
          </cell>
          <cell r="Q787">
            <v>0</v>
          </cell>
          <cell r="R787">
            <v>0</v>
          </cell>
          <cell r="S787">
            <v>500.00000000000023</v>
          </cell>
          <cell r="T787">
            <v>500.00000000000023</v>
          </cell>
          <cell r="U787">
            <v>500.00000000000023</v>
          </cell>
          <cell r="V787">
            <v>500.00000000000023</v>
          </cell>
          <cell r="W787">
            <v>500.00000000000023</v>
          </cell>
          <cell r="X787">
            <v>500.00000000000023</v>
          </cell>
          <cell r="Y787">
            <v>500.00000000000023</v>
          </cell>
          <cell r="Z787">
            <v>500.00000000000023</v>
          </cell>
          <cell r="AA787">
            <v>500.00000000000023</v>
          </cell>
          <cell r="AB787">
            <v>500.00000000000023</v>
          </cell>
          <cell r="AC787">
            <v>500.00000000000023</v>
          </cell>
          <cell r="AD787">
            <v>500.00000000000023</v>
          </cell>
          <cell r="AE787">
            <v>500.00000000000023</v>
          </cell>
          <cell r="AF787">
            <v>500.00000000000023</v>
          </cell>
          <cell r="AG787">
            <v>499.99999999999909</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row>
        <row r="788">
          <cell r="F788">
            <v>2024</v>
          </cell>
          <cell r="G788">
            <v>7500</v>
          </cell>
          <cell r="M788">
            <v>0</v>
          </cell>
          <cell r="N788">
            <v>0</v>
          </cell>
          <cell r="O788">
            <v>0</v>
          </cell>
          <cell r="P788">
            <v>0</v>
          </cell>
          <cell r="Q788">
            <v>0</v>
          </cell>
          <cell r="R788">
            <v>0</v>
          </cell>
          <cell r="S788">
            <v>0</v>
          </cell>
          <cell r="T788">
            <v>500.00000000000023</v>
          </cell>
          <cell r="U788">
            <v>500.00000000000023</v>
          </cell>
          <cell r="V788">
            <v>500.00000000000023</v>
          </cell>
          <cell r="W788">
            <v>500.00000000000023</v>
          </cell>
          <cell r="X788">
            <v>500.00000000000023</v>
          </cell>
          <cell r="Y788">
            <v>500.00000000000023</v>
          </cell>
          <cell r="Z788">
            <v>500.00000000000023</v>
          </cell>
          <cell r="AA788">
            <v>500.00000000000023</v>
          </cell>
          <cell r="AB788">
            <v>500.00000000000023</v>
          </cell>
          <cell r="AC788">
            <v>500.00000000000023</v>
          </cell>
          <cell r="AD788">
            <v>500.00000000000023</v>
          </cell>
          <cell r="AE788">
            <v>500.00000000000023</v>
          </cell>
          <cell r="AF788">
            <v>500.00000000000023</v>
          </cell>
          <cell r="AG788">
            <v>500.00000000000023</v>
          </cell>
          <cell r="AH788">
            <v>499.99999999999909</v>
          </cell>
          <cell r="AI788">
            <v>0</v>
          </cell>
          <cell r="AJ788">
            <v>0</v>
          </cell>
          <cell r="AK788">
            <v>0</v>
          </cell>
          <cell r="AL788">
            <v>0</v>
          </cell>
          <cell r="AM788">
            <v>0</v>
          </cell>
          <cell r="AN788">
            <v>0</v>
          </cell>
          <cell r="AO788">
            <v>0</v>
          </cell>
          <cell r="AP788">
            <v>0</v>
          </cell>
          <cell r="AQ788">
            <v>0</v>
          </cell>
          <cell r="AR788">
            <v>0</v>
          </cell>
          <cell r="AS788">
            <v>0</v>
          </cell>
          <cell r="AT788">
            <v>0</v>
          </cell>
        </row>
        <row r="789">
          <cell r="F789">
            <v>2025</v>
          </cell>
          <cell r="G789">
            <v>7500</v>
          </cell>
          <cell r="M789">
            <v>0</v>
          </cell>
          <cell r="N789">
            <v>0</v>
          </cell>
          <cell r="O789">
            <v>0</v>
          </cell>
          <cell r="P789">
            <v>0</v>
          </cell>
          <cell r="Q789">
            <v>0</v>
          </cell>
          <cell r="R789">
            <v>0</v>
          </cell>
          <cell r="S789">
            <v>0</v>
          </cell>
          <cell r="T789">
            <v>0</v>
          </cell>
          <cell r="U789">
            <v>500.00000000000023</v>
          </cell>
          <cell r="V789">
            <v>500.00000000000023</v>
          </cell>
          <cell r="W789">
            <v>500.00000000000023</v>
          </cell>
          <cell r="X789">
            <v>500.00000000000023</v>
          </cell>
          <cell r="Y789">
            <v>500.00000000000023</v>
          </cell>
          <cell r="Z789">
            <v>500.00000000000023</v>
          </cell>
          <cell r="AA789">
            <v>500.00000000000023</v>
          </cell>
          <cell r="AB789">
            <v>500.00000000000023</v>
          </cell>
          <cell r="AC789">
            <v>500.00000000000023</v>
          </cell>
          <cell r="AD789">
            <v>500.00000000000023</v>
          </cell>
          <cell r="AE789">
            <v>500.00000000000023</v>
          </cell>
          <cell r="AF789">
            <v>500.00000000000023</v>
          </cell>
          <cell r="AG789">
            <v>500.00000000000023</v>
          </cell>
          <cell r="AH789">
            <v>500.00000000000023</v>
          </cell>
          <cell r="AI789">
            <v>499.99999999999909</v>
          </cell>
          <cell r="AJ789">
            <v>0</v>
          </cell>
          <cell r="AK789">
            <v>0</v>
          </cell>
          <cell r="AL789">
            <v>0</v>
          </cell>
          <cell r="AM789">
            <v>0</v>
          </cell>
          <cell r="AN789">
            <v>0</v>
          </cell>
          <cell r="AO789">
            <v>0</v>
          </cell>
          <cell r="AP789">
            <v>0</v>
          </cell>
          <cell r="AQ789">
            <v>0</v>
          </cell>
          <cell r="AR789">
            <v>0</v>
          </cell>
          <cell r="AS789">
            <v>0</v>
          </cell>
          <cell r="AT789">
            <v>0</v>
          </cell>
        </row>
        <row r="790">
          <cell r="F790">
            <v>2026</v>
          </cell>
          <cell r="G790">
            <v>7500</v>
          </cell>
          <cell r="M790">
            <v>0</v>
          </cell>
          <cell r="N790">
            <v>0</v>
          </cell>
          <cell r="O790">
            <v>0</v>
          </cell>
          <cell r="P790">
            <v>0</v>
          </cell>
          <cell r="Q790">
            <v>0</v>
          </cell>
          <cell r="R790">
            <v>0</v>
          </cell>
          <cell r="S790">
            <v>0</v>
          </cell>
          <cell r="T790">
            <v>0</v>
          </cell>
          <cell r="U790">
            <v>0</v>
          </cell>
          <cell r="V790">
            <v>500.00000000000023</v>
          </cell>
          <cell r="W790">
            <v>500.00000000000023</v>
          </cell>
          <cell r="X790">
            <v>500.00000000000023</v>
          </cell>
          <cell r="Y790">
            <v>500.00000000000023</v>
          </cell>
          <cell r="Z790">
            <v>500.00000000000023</v>
          </cell>
          <cell r="AA790">
            <v>500.00000000000023</v>
          </cell>
          <cell r="AB790">
            <v>500.00000000000023</v>
          </cell>
          <cell r="AC790">
            <v>500.00000000000023</v>
          </cell>
          <cell r="AD790">
            <v>500.00000000000023</v>
          </cell>
          <cell r="AE790">
            <v>500.00000000000023</v>
          </cell>
          <cell r="AF790">
            <v>500.00000000000023</v>
          </cell>
          <cell r="AG790">
            <v>500.00000000000023</v>
          </cell>
          <cell r="AH790">
            <v>500.00000000000023</v>
          </cell>
          <cell r="AI790">
            <v>500.00000000000023</v>
          </cell>
          <cell r="AJ790">
            <v>499.99999999999909</v>
          </cell>
          <cell r="AK790">
            <v>0</v>
          </cell>
          <cell r="AL790">
            <v>0</v>
          </cell>
          <cell r="AM790">
            <v>0</v>
          </cell>
          <cell r="AN790">
            <v>0</v>
          </cell>
          <cell r="AO790">
            <v>0</v>
          </cell>
          <cell r="AP790">
            <v>0</v>
          </cell>
          <cell r="AQ790">
            <v>0</v>
          </cell>
          <cell r="AR790">
            <v>0</v>
          </cell>
          <cell r="AS790">
            <v>0</v>
          </cell>
          <cell r="AT790">
            <v>0</v>
          </cell>
        </row>
        <row r="791">
          <cell r="F791">
            <v>2027</v>
          </cell>
          <cell r="G791">
            <v>7500</v>
          </cell>
          <cell r="M791">
            <v>0</v>
          </cell>
          <cell r="N791">
            <v>0</v>
          </cell>
          <cell r="O791">
            <v>0</v>
          </cell>
          <cell r="P791">
            <v>0</v>
          </cell>
          <cell r="Q791">
            <v>0</v>
          </cell>
          <cell r="R791">
            <v>0</v>
          </cell>
          <cell r="S791">
            <v>0</v>
          </cell>
          <cell r="T791">
            <v>0</v>
          </cell>
          <cell r="U791">
            <v>0</v>
          </cell>
          <cell r="V791">
            <v>0</v>
          </cell>
          <cell r="W791">
            <v>500.00000000000023</v>
          </cell>
          <cell r="X791">
            <v>500.00000000000023</v>
          </cell>
          <cell r="Y791">
            <v>500.00000000000023</v>
          </cell>
          <cell r="Z791">
            <v>500.00000000000023</v>
          </cell>
          <cell r="AA791">
            <v>500.00000000000023</v>
          </cell>
          <cell r="AB791">
            <v>500.00000000000023</v>
          </cell>
          <cell r="AC791">
            <v>500.00000000000023</v>
          </cell>
          <cell r="AD791">
            <v>500.00000000000023</v>
          </cell>
          <cell r="AE791">
            <v>500.00000000000023</v>
          </cell>
          <cell r="AF791">
            <v>500.00000000000023</v>
          </cell>
          <cell r="AG791">
            <v>500.00000000000023</v>
          </cell>
          <cell r="AH791">
            <v>500.00000000000023</v>
          </cell>
          <cell r="AI791">
            <v>500.00000000000023</v>
          </cell>
          <cell r="AJ791">
            <v>500.00000000000023</v>
          </cell>
          <cell r="AK791">
            <v>499.99999999999909</v>
          </cell>
          <cell r="AL791">
            <v>0</v>
          </cell>
          <cell r="AM791">
            <v>0</v>
          </cell>
          <cell r="AN791">
            <v>0</v>
          </cell>
          <cell r="AO791">
            <v>0</v>
          </cell>
          <cell r="AP791">
            <v>0</v>
          </cell>
          <cell r="AQ791">
            <v>0</v>
          </cell>
          <cell r="AR791">
            <v>0</v>
          </cell>
          <cell r="AS791">
            <v>0</v>
          </cell>
          <cell r="AT791">
            <v>0</v>
          </cell>
        </row>
        <row r="792">
          <cell r="F792">
            <v>2028</v>
          </cell>
          <cell r="G792">
            <v>7500</v>
          </cell>
          <cell r="M792">
            <v>0</v>
          </cell>
          <cell r="N792">
            <v>0</v>
          </cell>
          <cell r="O792">
            <v>0</v>
          </cell>
          <cell r="P792">
            <v>0</v>
          </cell>
          <cell r="Q792">
            <v>0</v>
          </cell>
          <cell r="R792">
            <v>0</v>
          </cell>
          <cell r="S792">
            <v>0</v>
          </cell>
          <cell r="T792">
            <v>0</v>
          </cell>
          <cell r="U792">
            <v>0</v>
          </cell>
          <cell r="V792">
            <v>0</v>
          </cell>
          <cell r="W792">
            <v>0</v>
          </cell>
          <cell r="X792">
            <v>500.00000000000023</v>
          </cell>
          <cell r="Y792">
            <v>500.00000000000023</v>
          </cell>
          <cell r="Z792">
            <v>500.00000000000023</v>
          </cell>
          <cell r="AA792">
            <v>500.00000000000023</v>
          </cell>
          <cell r="AB792">
            <v>500.00000000000023</v>
          </cell>
          <cell r="AC792">
            <v>500.00000000000023</v>
          </cell>
          <cell r="AD792">
            <v>500.00000000000023</v>
          </cell>
          <cell r="AE792">
            <v>500.00000000000023</v>
          </cell>
          <cell r="AF792">
            <v>500.00000000000023</v>
          </cell>
          <cell r="AG792">
            <v>500.00000000000023</v>
          </cell>
          <cell r="AH792">
            <v>500.00000000000023</v>
          </cell>
          <cell r="AI792">
            <v>500.00000000000023</v>
          </cell>
          <cell r="AJ792">
            <v>500.00000000000023</v>
          </cell>
          <cell r="AK792">
            <v>500.00000000000023</v>
          </cell>
          <cell r="AL792">
            <v>499.99999999999909</v>
          </cell>
          <cell r="AM792">
            <v>0</v>
          </cell>
          <cell r="AN792">
            <v>0</v>
          </cell>
          <cell r="AO792">
            <v>0</v>
          </cell>
          <cell r="AP792">
            <v>0</v>
          </cell>
          <cell r="AQ792">
            <v>0</v>
          </cell>
          <cell r="AR792">
            <v>0</v>
          </cell>
          <cell r="AS792">
            <v>0</v>
          </cell>
          <cell r="AT792">
            <v>0</v>
          </cell>
        </row>
        <row r="793">
          <cell r="F793">
            <v>2029</v>
          </cell>
          <cell r="G793">
            <v>7500</v>
          </cell>
          <cell r="M793">
            <v>0</v>
          </cell>
          <cell r="N793">
            <v>0</v>
          </cell>
          <cell r="O793">
            <v>0</v>
          </cell>
          <cell r="P793">
            <v>0</v>
          </cell>
          <cell r="Q793">
            <v>0</v>
          </cell>
          <cell r="R793">
            <v>0</v>
          </cell>
          <cell r="S793">
            <v>0</v>
          </cell>
          <cell r="T793">
            <v>0</v>
          </cell>
          <cell r="U793">
            <v>0</v>
          </cell>
          <cell r="V793">
            <v>0</v>
          </cell>
          <cell r="W793">
            <v>0</v>
          </cell>
          <cell r="X793">
            <v>0</v>
          </cell>
          <cell r="Y793">
            <v>500.00000000000023</v>
          </cell>
          <cell r="Z793">
            <v>500.00000000000023</v>
          </cell>
          <cell r="AA793">
            <v>500.00000000000023</v>
          </cell>
          <cell r="AB793">
            <v>500.00000000000023</v>
          </cell>
          <cell r="AC793">
            <v>500.00000000000023</v>
          </cell>
          <cell r="AD793">
            <v>500.00000000000023</v>
          </cell>
          <cell r="AE793">
            <v>500.00000000000023</v>
          </cell>
          <cell r="AF793">
            <v>500.00000000000023</v>
          </cell>
          <cell r="AG793">
            <v>500.00000000000023</v>
          </cell>
          <cell r="AH793">
            <v>500.00000000000023</v>
          </cell>
          <cell r="AI793">
            <v>500.00000000000023</v>
          </cell>
          <cell r="AJ793">
            <v>500.00000000000023</v>
          </cell>
          <cell r="AK793">
            <v>500.00000000000023</v>
          </cell>
          <cell r="AL793">
            <v>500.00000000000023</v>
          </cell>
          <cell r="AM793">
            <v>499.99999999999909</v>
          </cell>
          <cell r="AN793">
            <v>0</v>
          </cell>
          <cell r="AO793">
            <v>0</v>
          </cell>
          <cell r="AP793">
            <v>0</v>
          </cell>
          <cell r="AQ793">
            <v>0</v>
          </cell>
          <cell r="AR793">
            <v>0</v>
          </cell>
          <cell r="AS793">
            <v>0</v>
          </cell>
          <cell r="AT793">
            <v>0</v>
          </cell>
        </row>
        <row r="794">
          <cell r="F794">
            <v>2030</v>
          </cell>
          <cell r="G794">
            <v>7500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500.00000000000023</v>
          </cell>
          <cell r="AA794">
            <v>500.00000000000023</v>
          </cell>
          <cell r="AB794">
            <v>500.00000000000023</v>
          </cell>
          <cell r="AC794">
            <v>500.00000000000023</v>
          </cell>
          <cell r="AD794">
            <v>500.00000000000023</v>
          </cell>
          <cell r="AE794">
            <v>500.00000000000023</v>
          </cell>
          <cell r="AF794">
            <v>500.00000000000023</v>
          </cell>
          <cell r="AG794">
            <v>500.00000000000023</v>
          </cell>
          <cell r="AH794">
            <v>500.00000000000023</v>
          </cell>
          <cell r="AI794">
            <v>500.00000000000023</v>
          </cell>
          <cell r="AJ794">
            <v>500.00000000000023</v>
          </cell>
          <cell r="AK794">
            <v>500.00000000000023</v>
          </cell>
          <cell r="AL794">
            <v>500.00000000000023</v>
          </cell>
          <cell r="AM794">
            <v>500.00000000000023</v>
          </cell>
          <cell r="AN794">
            <v>499.99999999999909</v>
          </cell>
          <cell r="AO794">
            <v>0</v>
          </cell>
          <cell r="AP794">
            <v>0</v>
          </cell>
          <cell r="AQ794">
            <v>0</v>
          </cell>
          <cell r="AR794">
            <v>0</v>
          </cell>
          <cell r="AS794">
            <v>0</v>
          </cell>
          <cell r="AT794">
            <v>0</v>
          </cell>
        </row>
        <row r="795">
          <cell r="F795">
            <v>2031</v>
          </cell>
          <cell r="G795">
            <v>7500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500.00000000000023</v>
          </cell>
          <cell r="AB795">
            <v>500.00000000000023</v>
          </cell>
          <cell r="AC795">
            <v>500.00000000000023</v>
          </cell>
          <cell r="AD795">
            <v>500.00000000000023</v>
          </cell>
          <cell r="AE795">
            <v>500.00000000000023</v>
          </cell>
          <cell r="AF795">
            <v>500.00000000000023</v>
          </cell>
          <cell r="AG795">
            <v>500.00000000000023</v>
          </cell>
          <cell r="AH795">
            <v>500.00000000000023</v>
          </cell>
          <cell r="AI795">
            <v>500.00000000000023</v>
          </cell>
          <cell r="AJ795">
            <v>500.00000000000023</v>
          </cell>
          <cell r="AK795">
            <v>500.00000000000023</v>
          </cell>
          <cell r="AL795">
            <v>500.00000000000023</v>
          </cell>
          <cell r="AM795">
            <v>500.00000000000023</v>
          </cell>
          <cell r="AN795">
            <v>500.00000000000023</v>
          </cell>
          <cell r="AO795">
            <v>499.99999999999909</v>
          </cell>
          <cell r="AP795">
            <v>0</v>
          </cell>
          <cell r="AQ795">
            <v>0</v>
          </cell>
          <cell r="AR795">
            <v>0</v>
          </cell>
          <cell r="AS795">
            <v>0</v>
          </cell>
          <cell r="AT795">
            <v>0</v>
          </cell>
        </row>
        <row r="796">
          <cell r="F796">
            <v>2032</v>
          </cell>
          <cell r="G796">
            <v>7500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500.00000000000023</v>
          </cell>
          <cell r="AC796">
            <v>500.00000000000023</v>
          </cell>
          <cell r="AD796">
            <v>500.00000000000023</v>
          </cell>
          <cell r="AE796">
            <v>500.00000000000023</v>
          </cell>
          <cell r="AF796">
            <v>500.00000000000023</v>
          </cell>
          <cell r="AG796">
            <v>500.00000000000023</v>
          </cell>
          <cell r="AH796">
            <v>500.00000000000023</v>
          </cell>
          <cell r="AI796">
            <v>500.00000000000023</v>
          </cell>
          <cell r="AJ796">
            <v>500.00000000000023</v>
          </cell>
          <cell r="AK796">
            <v>500.00000000000023</v>
          </cell>
          <cell r="AL796">
            <v>500.00000000000023</v>
          </cell>
          <cell r="AM796">
            <v>500.00000000000023</v>
          </cell>
          <cell r="AN796">
            <v>500.00000000000023</v>
          </cell>
          <cell r="AO796">
            <v>500.00000000000023</v>
          </cell>
          <cell r="AP796">
            <v>499.99999999999909</v>
          </cell>
          <cell r="AQ796">
            <v>0</v>
          </cell>
          <cell r="AR796">
            <v>0</v>
          </cell>
          <cell r="AS796">
            <v>0</v>
          </cell>
          <cell r="AT796">
            <v>0</v>
          </cell>
        </row>
        <row r="797">
          <cell r="F797">
            <v>2033</v>
          </cell>
          <cell r="G797">
            <v>7500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500.00000000000023</v>
          </cell>
          <cell r="AD797">
            <v>500.00000000000023</v>
          </cell>
          <cell r="AE797">
            <v>500.00000000000023</v>
          </cell>
          <cell r="AF797">
            <v>500.00000000000023</v>
          </cell>
          <cell r="AG797">
            <v>500.00000000000023</v>
          </cell>
          <cell r="AH797">
            <v>500.00000000000023</v>
          </cell>
          <cell r="AI797">
            <v>500.00000000000023</v>
          </cell>
          <cell r="AJ797">
            <v>500.00000000000023</v>
          </cell>
          <cell r="AK797">
            <v>500.00000000000023</v>
          </cell>
          <cell r="AL797">
            <v>500.00000000000023</v>
          </cell>
          <cell r="AM797">
            <v>500.00000000000023</v>
          </cell>
          <cell r="AN797">
            <v>500.00000000000023</v>
          </cell>
          <cell r="AO797">
            <v>500.00000000000023</v>
          </cell>
          <cell r="AP797">
            <v>500.00000000000023</v>
          </cell>
          <cell r="AQ797">
            <v>0</v>
          </cell>
          <cell r="AR797">
            <v>0</v>
          </cell>
          <cell r="AS797">
            <v>0</v>
          </cell>
          <cell r="AT797">
            <v>0</v>
          </cell>
        </row>
        <row r="798">
          <cell r="F798">
            <v>2034</v>
          </cell>
          <cell r="G798">
            <v>7500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500.00000000000023</v>
          </cell>
          <cell r="AE798">
            <v>500.00000000000023</v>
          </cell>
          <cell r="AF798">
            <v>500.00000000000023</v>
          </cell>
          <cell r="AG798">
            <v>500.00000000000023</v>
          </cell>
          <cell r="AH798">
            <v>500.00000000000023</v>
          </cell>
          <cell r="AI798">
            <v>500.00000000000023</v>
          </cell>
          <cell r="AJ798">
            <v>500.00000000000023</v>
          </cell>
          <cell r="AK798">
            <v>500.00000000000023</v>
          </cell>
          <cell r="AL798">
            <v>500.00000000000023</v>
          </cell>
          <cell r="AM798">
            <v>500.00000000000023</v>
          </cell>
          <cell r="AN798">
            <v>500.00000000000023</v>
          </cell>
          <cell r="AO798">
            <v>500.00000000000023</v>
          </cell>
          <cell r="AP798">
            <v>500.00000000000023</v>
          </cell>
          <cell r="AQ798">
            <v>0</v>
          </cell>
          <cell r="AR798">
            <v>0</v>
          </cell>
          <cell r="AS798">
            <v>0</v>
          </cell>
          <cell r="AT798">
            <v>0</v>
          </cell>
        </row>
        <row r="799">
          <cell r="F799">
            <v>2035</v>
          </cell>
          <cell r="G799">
            <v>7500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500.00000000000023</v>
          </cell>
          <cell r="AF799">
            <v>500.00000000000023</v>
          </cell>
          <cell r="AG799">
            <v>500.00000000000023</v>
          </cell>
          <cell r="AH799">
            <v>500.00000000000023</v>
          </cell>
          <cell r="AI799">
            <v>500.00000000000023</v>
          </cell>
          <cell r="AJ799">
            <v>500.00000000000023</v>
          </cell>
          <cell r="AK799">
            <v>500.00000000000023</v>
          </cell>
          <cell r="AL799">
            <v>500.00000000000023</v>
          </cell>
          <cell r="AM799">
            <v>500.00000000000023</v>
          </cell>
          <cell r="AN799">
            <v>500.00000000000023</v>
          </cell>
          <cell r="AO799">
            <v>500.00000000000023</v>
          </cell>
          <cell r="AP799">
            <v>500.00000000000023</v>
          </cell>
          <cell r="AQ799">
            <v>0</v>
          </cell>
          <cell r="AR799">
            <v>0</v>
          </cell>
          <cell r="AS799">
            <v>0</v>
          </cell>
          <cell r="AT799">
            <v>0</v>
          </cell>
        </row>
        <row r="800">
          <cell r="F800">
            <v>2036</v>
          </cell>
          <cell r="G800">
            <v>7500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500.00000000000023</v>
          </cell>
          <cell r="AG800">
            <v>500.00000000000023</v>
          </cell>
          <cell r="AH800">
            <v>500.00000000000023</v>
          </cell>
          <cell r="AI800">
            <v>500.00000000000023</v>
          </cell>
          <cell r="AJ800">
            <v>500.00000000000023</v>
          </cell>
          <cell r="AK800">
            <v>500.00000000000023</v>
          </cell>
          <cell r="AL800">
            <v>500.00000000000023</v>
          </cell>
          <cell r="AM800">
            <v>500.00000000000023</v>
          </cell>
          <cell r="AN800">
            <v>500.00000000000023</v>
          </cell>
          <cell r="AO800">
            <v>500.00000000000023</v>
          </cell>
          <cell r="AP800">
            <v>500.00000000000023</v>
          </cell>
          <cell r="AQ800">
            <v>0</v>
          </cell>
          <cell r="AR800">
            <v>0</v>
          </cell>
          <cell r="AS800">
            <v>0</v>
          </cell>
          <cell r="AT800">
            <v>0</v>
          </cell>
        </row>
        <row r="801">
          <cell r="F801">
            <v>2037</v>
          </cell>
          <cell r="G801">
            <v>7500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500.00000000000023</v>
          </cell>
          <cell r="AH801">
            <v>500.00000000000023</v>
          </cell>
          <cell r="AI801">
            <v>500.00000000000023</v>
          </cell>
          <cell r="AJ801">
            <v>500.00000000000023</v>
          </cell>
          <cell r="AK801">
            <v>500.00000000000023</v>
          </cell>
          <cell r="AL801">
            <v>500.00000000000023</v>
          </cell>
          <cell r="AM801">
            <v>500.00000000000023</v>
          </cell>
          <cell r="AN801">
            <v>500.00000000000023</v>
          </cell>
          <cell r="AO801">
            <v>500.00000000000023</v>
          </cell>
          <cell r="AP801">
            <v>500.00000000000023</v>
          </cell>
          <cell r="AQ801">
            <v>0</v>
          </cell>
          <cell r="AR801">
            <v>0</v>
          </cell>
          <cell r="AS801">
            <v>0</v>
          </cell>
          <cell r="AT801">
            <v>0</v>
          </cell>
        </row>
        <row r="802">
          <cell r="F802">
            <v>2038</v>
          </cell>
          <cell r="G802">
            <v>7500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500.00000000000023</v>
          </cell>
          <cell r="AI802">
            <v>500.00000000000023</v>
          </cell>
          <cell r="AJ802">
            <v>500.00000000000023</v>
          </cell>
          <cell r="AK802">
            <v>500.00000000000023</v>
          </cell>
          <cell r="AL802">
            <v>500.00000000000023</v>
          </cell>
          <cell r="AM802">
            <v>500.00000000000023</v>
          </cell>
          <cell r="AN802">
            <v>500.00000000000023</v>
          </cell>
          <cell r="AO802">
            <v>500.00000000000023</v>
          </cell>
          <cell r="AP802">
            <v>500.00000000000023</v>
          </cell>
          <cell r="AQ802">
            <v>0</v>
          </cell>
          <cell r="AR802">
            <v>0</v>
          </cell>
          <cell r="AS802">
            <v>0</v>
          </cell>
          <cell r="AT802">
            <v>0</v>
          </cell>
        </row>
        <row r="803">
          <cell r="F803">
            <v>2039</v>
          </cell>
          <cell r="G803">
            <v>7500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500.00000000000023</v>
          </cell>
          <cell r="AJ803">
            <v>500.00000000000023</v>
          </cell>
          <cell r="AK803">
            <v>500.00000000000023</v>
          </cell>
          <cell r="AL803">
            <v>500.00000000000023</v>
          </cell>
          <cell r="AM803">
            <v>500.00000000000023</v>
          </cell>
          <cell r="AN803">
            <v>500.00000000000023</v>
          </cell>
          <cell r="AO803">
            <v>500.00000000000023</v>
          </cell>
          <cell r="AP803">
            <v>500.00000000000023</v>
          </cell>
          <cell r="AQ803">
            <v>0</v>
          </cell>
          <cell r="AR803">
            <v>0</v>
          </cell>
          <cell r="AS803">
            <v>0</v>
          </cell>
          <cell r="AT803">
            <v>0</v>
          </cell>
        </row>
        <row r="804">
          <cell r="F804">
            <v>2040</v>
          </cell>
          <cell r="G804">
            <v>7500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500.00000000000023</v>
          </cell>
          <cell r="AK804">
            <v>500.00000000000023</v>
          </cell>
          <cell r="AL804">
            <v>500.00000000000023</v>
          </cell>
          <cell r="AM804">
            <v>500.00000000000023</v>
          </cell>
          <cell r="AN804">
            <v>500.00000000000023</v>
          </cell>
          <cell r="AO804">
            <v>500.00000000000023</v>
          </cell>
          <cell r="AP804">
            <v>500.00000000000023</v>
          </cell>
          <cell r="AQ804">
            <v>0</v>
          </cell>
          <cell r="AR804">
            <v>0</v>
          </cell>
          <cell r="AS804">
            <v>0</v>
          </cell>
          <cell r="AT804">
            <v>0</v>
          </cell>
        </row>
        <row r="805">
          <cell r="F805">
            <v>2041</v>
          </cell>
          <cell r="G805">
            <v>7500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500.00000000000023</v>
          </cell>
          <cell r="AL805">
            <v>500.00000000000023</v>
          </cell>
          <cell r="AM805">
            <v>500.00000000000023</v>
          </cell>
          <cell r="AN805">
            <v>500.00000000000023</v>
          </cell>
          <cell r="AO805">
            <v>500.00000000000023</v>
          </cell>
          <cell r="AP805">
            <v>500.00000000000023</v>
          </cell>
          <cell r="AQ805">
            <v>0</v>
          </cell>
          <cell r="AR805">
            <v>0</v>
          </cell>
          <cell r="AS805">
            <v>0</v>
          </cell>
          <cell r="AT805">
            <v>0</v>
          </cell>
        </row>
        <row r="806">
          <cell r="F806">
            <v>2042</v>
          </cell>
          <cell r="G806">
            <v>7500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500.00000000000023</v>
          </cell>
          <cell r="AM806">
            <v>500.00000000000023</v>
          </cell>
          <cell r="AN806">
            <v>500.00000000000023</v>
          </cell>
          <cell r="AO806">
            <v>500.00000000000023</v>
          </cell>
          <cell r="AP806">
            <v>500.00000000000023</v>
          </cell>
          <cell r="AQ806">
            <v>0</v>
          </cell>
          <cell r="AR806">
            <v>0</v>
          </cell>
          <cell r="AS806">
            <v>0</v>
          </cell>
          <cell r="AT806">
            <v>0</v>
          </cell>
        </row>
        <row r="807">
          <cell r="F807">
            <v>2043</v>
          </cell>
          <cell r="G807">
            <v>7500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500.00000000000023</v>
          </cell>
          <cell r="AN807">
            <v>500.00000000000023</v>
          </cell>
          <cell r="AO807">
            <v>500.00000000000023</v>
          </cell>
          <cell r="AP807">
            <v>500.00000000000023</v>
          </cell>
          <cell r="AQ807">
            <v>0</v>
          </cell>
          <cell r="AR807">
            <v>0</v>
          </cell>
          <cell r="AS807">
            <v>0</v>
          </cell>
          <cell r="AT807">
            <v>0</v>
          </cell>
        </row>
        <row r="808">
          <cell r="F808">
            <v>2044</v>
          </cell>
          <cell r="G808">
            <v>7500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500.00000000000023</v>
          </cell>
          <cell r="AO808">
            <v>500.00000000000023</v>
          </cell>
          <cell r="AP808">
            <v>500.00000000000023</v>
          </cell>
          <cell r="AQ808">
            <v>0</v>
          </cell>
          <cell r="AR808">
            <v>0</v>
          </cell>
          <cell r="AS808">
            <v>0</v>
          </cell>
          <cell r="AT808">
            <v>0</v>
          </cell>
        </row>
        <row r="809">
          <cell r="F809">
            <v>2045</v>
          </cell>
          <cell r="G809">
            <v>7500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500.00000000000023</v>
          </cell>
          <cell r="AP809">
            <v>500.00000000000023</v>
          </cell>
          <cell r="AQ809">
            <v>0</v>
          </cell>
          <cell r="AR809">
            <v>0</v>
          </cell>
          <cell r="AS809">
            <v>0</v>
          </cell>
          <cell r="AT809">
            <v>0</v>
          </cell>
        </row>
        <row r="810">
          <cell r="F810">
            <v>2046</v>
          </cell>
          <cell r="G810">
            <v>7500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500.00000000000023</v>
          </cell>
          <cell r="AQ810">
            <v>0</v>
          </cell>
          <cell r="AR810">
            <v>0</v>
          </cell>
          <cell r="AS810">
            <v>0</v>
          </cell>
          <cell r="AT810">
            <v>0</v>
          </cell>
        </row>
        <row r="811">
          <cell r="F811">
            <v>2047</v>
          </cell>
          <cell r="G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row>
        <row r="812">
          <cell r="F812">
            <v>2048</v>
          </cell>
          <cell r="G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row>
        <row r="813">
          <cell r="F813">
            <v>2049</v>
          </cell>
          <cell r="G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row>
        <row r="814">
          <cell r="F814">
            <v>2050</v>
          </cell>
          <cell r="G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row>
        <row r="815">
          <cell r="M815">
            <v>-500.00000000000023</v>
          </cell>
          <cell r="N815">
            <v>-1000.0000000000005</v>
          </cell>
          <cell r="O815">
            <v>-1500.0000000000007</v>
          </cell>
          <cell r="P815">
            <v>-2000.0000000000009</v>
          </cell>
          <cell r="Q815">
            <v>-2500.0000000000009</v>
          </cell>
          <cell r="R815">
            <v>-3000.0000000000009</v>
          </cell>
          <cell r="S815">
            <v>-3500.0000000000009</v>
          </cell>
          <cell r="T815">
            <v>-4000.0000000000009</v>
          </cell>
          <cell r="U815">
            <v>-4500.0000000000009</v>
          </cell>
          <cell r="V815">
            <v>-5000.0000000000009</v>
          </cell>
          <cell r="W815">
            <v>-5500.0000000000009</v>
          </cell>
          <cell r="X815">
            <v>-6000.0000000000009</v>
          </cell>
          <cell r="Y815">
            <v>-6500.0000000000009</v>
          </cell>
          <cell r="Z815">
            <v>-7000.0000000000009</v>
          </cell>
          <cell r="AA815">
            <v>-7500</v>
          </cell>
          <cell r="AB815">
            <v>-7500</v>
          </cell>
          <cell r="AC815">
            <v>-7500</v>
          </cell>
          <cell r="AD815">
            <v>-7500</v>
          </cell>
          <cell r="AE815">
            <v>-7500</v>
          </cell>
          <cell r="AF815">
            <v>-7500</v>
          </cell>
          <cell r="AG815">
            <v>-7500</v>
          </cell>
          <cell r="AH815">
            <v>-7500</v>
          </cell>
          <cell r="AI815">
            <v>-7500</v>
          </cell>
          <cell r="AJ815">
            <v>-7500</v>
          </cell>
          <cell r="AK815">
            <v>-7500</v>
          </cell>
          <cell r="AL815">
            <v>-7500</v>
          </cell>
          <cell r="AM815">
            <v>-7500</v>
          </cell>
          <cell r="AN815">
            <v>-7500</v>
          </cell>
          <cell r="AO815">
            <v>-7500</v>
          </cell>
          <cell r="AP815">
            <v>-7500</v>
          </cell>
          <cell r="AQ815">
            <v>0</v>
          </cell>
          <cell r="AR815">
            <v>0</v>
          </cell>
          <cell r="AS815">
            <v>0</v>
          </cell>
          <cell r="AT815">
            <v>0</v>
          </cell>
        </row>
        <row r="817">
          <cell r="E817" t="str">
            <v>AUX:</v>
          </cell>
        </row>
        <row r="818">
          <cell r="E818" t="str">
            <v>Mine in operation</v>
          </cell>
          <cell r="F818" t="str">
            <v>[1/0]</v>
          </cell>
          <cell r="I818">
            <v>1</v>
          </cell>
          <cell r="J818">
            <v>1</v>
          </cell>
          <cell r="K818">
            <v>1</v>
          </cell>
          <cell r="L818">
            <v>1</v>
          </cell>
          <cell r="M818">
            <v>1</v>
          </cell>
          <cell r="N818">
            <v>1</v>
          </cell>
          <cell r="O818">
            <v>1</v>
          </cell>
          <cell r="P818">
            <v>1</v>
          </cell>
          <cell r="Q818">
            <v>1</v>
          </cell>
          <cell r="R818">
            <v>1</v>
          </cell>
          <cell r="S818">
            <v>1</v>
          </cell>
          <cell r="T818">
            <v>1</v>
          </cell>
          <cell r="U818">
            <v>1</v>
          </cell>
          <cell r="V818">
            <v>1</v>
          </cell>
          <cell r="W818">
            <v>1</v>
          </cell>
          <cell r="X818">
            <v>1</v>
          </cell>
          <cell r="Y818">
            <v>1</v>
          </cell>
          <cell r="Z818">
            <v>1</v>
          </cell>
          <cell r="AA818">
            <v>1</v>
          </cell>
          <cell r="AB818">
            <v>1</v>
          </cell>
          <cell r="AC818">
            <v>1</v>
          </cell>
          <cell r="AD818">
            <v>1</v>
          </cell>
          <cell r="AE818">
            <v>1</v>
          </cell>
          <cell r="AF818">
            <v>1</v>
          </cell>
          <cell r="AG818">
            <v>1</v>
          </cell>
          <cell r="AH818">
            <v>1</v>
          </cell>
          <cell r="AI818">
            <v>1</v>
          </cell>
          <cell r="AJ818">
            <v>1</v>
          </cell>
          <cell r="AK818">
            <v>1</v>
          </cell>
          <cell r="AL818">
            <v>1</v>
          </cell>
          <cell r="AM818">
            <v>1</v>
          </cell>
          <cell r="AN818">
            <v>1</v>
          </cell>
          <cell r="AO818">
            <v>1</v>
          </cell>
          <cell r="AP818">
            <v>1</v>
          </cell>
          <cell r="AQ818">
            <v>0</v>
          </cell>
          <cell r="AR818">
            <v>0</v>
          </cell>
          <cell r="AS818">
            <v>0</v>
          </cell>
          <cell r="AT818">
            <v>0</v>
          </cell>
        </row>
        <row r="820">
          <cell r="A820" t="str">
            <v>x</v>
          </cell>
          <cell r="B820">
            <v>11</v>
          </cell>
          <cell r="E820" t="str">
            <v>Indebtness</v>
          </cell>
          <cell r="I820">
            <v>2013</v>
          </cell>
          <cell r="J820">
            <v>2014</v>
          </cell>
          <cell r="K820">
            <v>2015</v>
          </cell>
          <cell r="L820">
            <v>2016</v>
          </cell>
          <cell r="M820">
            <v>2017</v>
          </cell>
          <cell r="N820">
            <v>2018</v>
          </cell>
          <cell r="O820">
            <v>2019</v>
          </cell>
          <cell r="P820">
            <v>2020</v>
          </cell>
          <cell r="Q820">
            <v>2021</v>
          </cell>
          <cell r="R820">
            <v>2022</v>
          </cell>
          <cell r="S820">
            <v>2023</v>
          </cell>
          <cell r="T820">
            <v>2024</v>
          </cell>
          <cell r="U820">
            <v>2025</v>
          </cell>
          <cell r="V820">
            <v>2026</v>
          </cell>
          <cell r="W820">
            <v>2027</v>
          </cell>
          <cell r="X820">
            <v>2028</v>
          </cell>
          <cell r="Y820">
            <v>2029</v>
          </cell>
          <cell r="Z820">
            <v>2030</v>
          </cell>
          <cell r="AA820">
            <v>2031</v>
          </cell>
          <cell r="AB820">
            <v>2032</v>
          </cell>
          <cell r="AC820">
            <v>2033</v>
          </cell>
          <cell r="AD820">
            <v>2034</v>
          </cell>
          <cell r="AE820">
            <v>2035</v>
          </cell>
          <cell r="AF820">
            <v>2036</v>
          </cell>
          <cell r="AG820">
            <v>2037</v>
          </cell>
          <cell r="AH820">
            <v>2038</v>
          </cell>
          <cell r="AI820">
            <v>2039</v>
          </cell>
          <cell r="AJ820">
            <v>2040</v>
          </cell>
          <cell r="AK820">
            <v>2041</v>
          </cell>
          <cell r="AL820">
            <v>2042</v>
          </cell>
          <cell r="AM820">
            <v>2043</v>
          </cell>
          <cell r="AN820">
            <v>2044</v>
          </cell>
          <cell r="AO820">
            <v>2045</v>
          </cell>
          <cell r="AP820">
            <v>2046</v>
          </cell>
          <cell r="AQ820">
            <v>2047</v>
          </cell>
          <cell r="AR820">
            <v>2048</v>
          </cell>
          <cell r="AS820">
            <v>2049</v>
          </cell>
          <cell r="AT820">
            <v>2050</v>
          </cell>
        </row>
        <row r="822">
          <cell r="E822" t="str">
            <v>CDI - IPCA</v>
          </cell>
          <cell r="F822" t="str">
            <v>[%]</v>
          </cell>
          <cell r="I822">
            <v>2.0336134453781574E-2</v>
          </cell>
          <cell r="J822">
            <v>4.1387164958080813E-2</v>
          </cell>
          <cell r="K822">
            <v>2.3225320171439634E-2</v>
          </cell>
          <cell r="L822">
            <v>6.9683268308631696E-2</v>
          </cell>
          <cell r="M822">
            <v>6.160954948016939E-2</v>
          </cell>
          <cell r="N822">
            <v>4.044470001916789E-2</v>
          </cell>
          <cell r="O822">
            <v>4.1710614632275433E-2</v>
          </cell>
          <cell r="P822">
            <v>4.1247002398081545E-2</v>
          </cell>
          <cell r="Q822">
            <v>4.127075535080138E-2</v>
          </cell>
          <cell r="R822">
            <v>4.127075535080138E-2</v>
          </cell>
          <cell r="S822">
            <v>4.127075535080138E-2</v>
          </cell>
          <cell r="T822">
            <v>4.127075535080138E-2</v>
          </cell>
          <cell r="U822">
            <v>4.127075535080138E-2</v>
          </cell>
          <cell r="V822">
            <v>4.127075535080138E-2</v>
          </cell>
          <cell r="W822">
            <v>4.127075535080138E-2</v>
          </cell>
          <cell r="X822">
            <v>4.127075535080138E-2</v>
          </cell>
          <cell r="Y822">
            <v>4.127075535080138E-2</v>
          </cell>
          <cell r="Z822">
            <v>4.127075535080138E-2</v>
          </cell>
          <cell r="AA822">
            <v>4.127075535080138E-2</v>
          </cell>
          <cell r="AB822">
            <v>4.127075535080138E-2</v>
          </cell>
          <cell r="AC822">
            <v>4.127075535080138E-2</v>
          </cell>
          <cell r="AD822">
            <v>4.127075535080138E-2</v>
          </cell>
          <cell r="AE822">
            <v>4.127075535080138E-2</v>
          </cell>
          <cell r="AF822">
            <v>4.127075535080138E-2</v>
          </cell>
          <cell r="AG822">
            <v>4.127075535080138E-2</v>
          </cell>
          <cell r="AH822">
            <v>4.127075535080138E-2</v>
          </cell>
          <cell r="AI822">
            <v>4.127075535080138E-2</v>
          </cell>
          <cell r="AJ822">
            <v>4.127075535080138E-2</v>
          </cell>
          <cell r="AK822">
            <v>4.127075535080138E-2</v>
          </cell>
          <cell r="AL822">
            <v>4.127075535080138E-2</v>
          </cell>
          <cell r="AM822">
            <v>4.127075535080138E-2</v>
          </cell>
          <cell r="AN822">
            <v>4.127075535080138E-2</v>
          </cell>
          <cell r="AO822">
            <v>4.127075535080138E-2</v>
          </cell>
          <cell r="AP822">
            <v>4.127075535080138E-2</v>
          </cell>
          <cell r="AQ822">
            <v>4.127075535080138E-2</v>
          </cell>
          <cell r="AR822">
            <v>4.127075535080138E-2</v>
          </cell>
          <cell r="AS822">
            <v>4.127075535080138E-2</v>
          </cell>
          <cell r="AT822">
            <v>4.127075535080138E-2</v>
          </cell>
        </row>
        <row r="823">
          <cell r="E823" t="str">
            <v>CDI</v>
          </cell>
          <cell r="F823" t="str">
            <v>[%]</v>
          </cell>
          <cell r="I823">
            <v>8.0638000000000001E-2</v>
          </cell>
          <cell r="J823">
            <v>0.10814008223189386</v>
          </cell>
          <cell r="K823">
            <v>0.13240346183373219</v>
          </cell>
          <cell r="L823">
            <v>0.13694602190314664</v>
          </cell>
          <cell r="M823">
            <v>0.10279999999999999</v>
          </cell>
          <cell r="N823">
            <v>8.5600000000000009E-2</v>
          </cell>
          <cell r="O823">
            <v>8.6400000000000005E-2</v>
          </cell>
          <cell r="P823">
            <v>8.5500000000000007E-2</v>
          </cell>
          <cell r="Q823">
            <v>8.4900000000000003E-2</v>
          </cell>
          <cell r="R823">
            <v>8.4900000000000003E-2</v>
          </cell>
          <cell r="S823">
            <v>8.4900000000000003E-2</v>
          </cell>
          <cell r="T823">
            <v>8.4900000000000003E-2</v>
          </cell>
          <cell r="U823">
            <v>8.4900000000000003E-2</v>
          </cell>
          <cell r="V823">
            <v>8.4900000000000003E-2</v>
          </cell>
          <cell r="W823">
            <v>8.4900000000000003E-2</v>
          </cell>
          <cell r="X823">
            <v>8.4900000000000003E-2</v>
          </cell>
          <cell r="Y823">
            <v>8.4900000000000003E-2</v>
          </cell>
          <cell r="Z823">
            <v>8.4900000000000003E-2</v>
          </cell>
          <cell r="AA823">
            <v>8.4900000000000003E-2</v>
          </cell>
          <cell r="AB823">
            <v>8.4900000000000003E-2</v>
          </cell>
          <cell r="AC823">
            <v>8.4900000000000003E-2</v>
          </cell>
          <cell r="AD823">
            <v>8.4900000000000003E-2</v>
          </cell>
          <cell r="AE823">
            <v>8.4900000000000003E-2</v>
          </cell>
          <cell r="AF823">
            <v>8.4900000000000003E-2</v>
          </cell>
          <cell r="AG823">
            <v>8.4900000000000003E-2</v>
          </cell>
          <cell r="AH823">
            <v>8.4900000000000003E-2</v>
          </cell>
          <cell r="AI823">
            <v>8.4900000000000003E-2</v>
          </cell>
          <cell r="AJ823">
            <v>8.4900000000000003E-2</v>
          </cell>
          <cell r="AK823">
            <v>8.4900000000000003E-2</v>
          </cell>
          <cell r="AL823">
            <v>8.4900000000000003E-2</v>
          </cell>
          <cell r="AM823">
            <v>8.4900000000000003E-2</v>
          </cell>
          <cell r="AN823">
            <v>8.4900000000000003E-2</v>
          </cell>
          <cell r="AO823">
            <v>8.4900000000000003E-2</v>
          </cell>
          <cell r="AP823">
            <v>8.4900000000000003E-2</v>
          </cell>
          <cell r="AQ823">
            <v>8.4900000000000003E-2</v>
          </cell>
          <cell r="AR823">
            <v>8.4900000000000003E-2</v>
          </cell>
          <cell r="AS823">
            <v>8.4900000000000003E-2</v>
          </cell>
          <cell r="AT823">
            <v>8.4900000000000003E-2</v>
          </cell>
        </row>
        <row r="824">
          <cell r="E824" t="str">
            <v>IPCA</v>
          </cell>
          <cell r="F824" t="str">
            <v>[%]</v>
          </cell>
          <cell r="I824">
            <v>5.91E-2</v>
          </cell>
          <cell r="J824">
            <v>6.4100000000000004E-2</v>
          </cell>
          <cell r="K824">
            <v>0.1067</v>
          </cell>
          <cell r="L824">
            <v>6.2881000000000006E-2</v>
          </cell>
          <cell r="M824">
            <v>3.8800000000000001E-2</v>
          </cell>
          <cell r="N824">
            <v>4.3400000000000001E-2</v>
          </cell>
          <cell r="O824">
            <v>4.2900000000000001E-2</v>
          </cell>
          <cell r="P824">
            <v>4.2500000000000003E-2</v>
          </cell>
          <cell r="Q824">
            <v>4.1900000000000007E-2</v>
          </cell>
          <cell r="R824">
            <v>4.1900000000000007E-2</v>
          </cell>
          <cell r="S824">
            <v>4.1900000000000007E-2</v>
          </cell>
          <cell r="T824">
            <v>4.1900000000000007E-2</v>
          </cell>
          <cell r="U824">
            <v>4.1900000000000007E-2</v>
          </cell>
          <cell r="V824">
            <v>4.1900000000000007E-2</v>
          </cell>
          <cell r="W824">
            <v>4.1900000000000007E-2</v>
          </cell>
          <cell r="X824">
            <v>4.1900000000000007E-2</v>
          </cell>
          <cell r="Y824">
            <v>4.1900000000000007E-2</v>
          </cell>
          <cell r="Z824">
            <v>4.1900000000000007E-2</v>
          </cell>
          <cell r="AA824">
            <v>4.1900000000000007E-2</v>
          </cell>
          <cell r="AB824">
            <v>4.1900000000000007E-2</v>
          </cell>
          <cell r="AC824">
            <v>4.1900000000000007E-2</v>
          </cell>
          <cell r="AD824">
            <v>4.1900000000000007E-2</v>
          </cell>
          <cell r="AE824">
            <v>4.1900000000000007E-2</v>
          </cell>
          <cell r="AF824">
            <v>4.1900000000000007E-2</v>
          </cell>
          <cell r="AG824">
            <v>4.1900000000000007E-2</v>
          </cell>
          <cell r="AH824">
            <v>4.1900000000000007E-2</v>
          </cell>
          <cell r="AI824">
            <v>4.1900000000000007E-2</v>
          </cell>
          <cell r="AJ824">
            <v>4.1900000000000007E-2</v>
          </cell>
          <cell r="AK824">
            <v>4.1900000000000007E-2</v>
          </cell>
          <cell r="AL824">
            <v>4.1900000000000007E-2</v>
          </cell>
          <cell r="AM824">
            <v>4.1900000000000007E-2</v>
          </cell>
          <cell r="AN824">
            <v>4.1900000000000007E-2</v>
          </cell>
          <cell r="AO824">
            <v>4.1900000000000007E-2</v>
          </cell>
          <cell r="AP824">
            <v>4.1900000000000007E-2</v>
          </cell>
          <cell r="AQ824">
            <v>4.1900000000000007E-2</v>
          </cell>
          <cell r="AR824">
            <v>4.1900000000000007E-2</v>
          </cell>
          <cell r="AS824">
            <v>4.1900000000000007E-2</v>
          </cell>
          <cell r="AT824">
            <v>4.1900000000000007E-2</v>
          </cell>
        </row>
        <row r="827">
          <cell r="E827" t="str">
            <v>Financial Result</v>
          </cell>
          <cell r="F827" t="str">
            <v>[R$ '000]</v>
          </cell>
          <cell r="I827">
            <v>4424</v>
          </cell>
          <cell r="J827">
            <v>6691</v>
          </cell>
          <cell r="K827">
            <v>4124</v>
          </cell>
          <cell r="L827">
            <v>3361</v>
          </cell>
          <cell r="M827">
            <v>2240.0616095494788</v>
          </cell>
          <cell r="N827">
            <v>-5033.7477770050118</v>
          </cell>
          <cell r="O827">
            <v>-9986.9495316782322</v>
          </cell>
          <cell r="P827">
            <v>-14877.555944447027</v>
          </cell>
          <cell r="Q827">
            <v>-18153.4069192514</v>
          </cell>
          <cell r="R827">
            <v>-16752.6761626076</v>
          </cell>
          <cell r="S827">
            <v>-15363.935900347127</v>
          </cell>
          <cell r="T827">
            <v>-13926.89700918675</v>
          </cell>
          <cell r="U827">
            <v>-12458.810032797461</v>
          </cell>
          <cell r="V827">
            <v>-10959.674971179265</v>
          </cell>
          <cell r="W827">
            <v>-9429.4918243321608</v>
          </cell>
          <cell r="X827">
            <v>-7868.2605922561488</v>
          </cell>
          <cell r="Y827">
            <v>-5083.0610425562172</v>
          </cell>
          <cell r="Z827">
            <v>-4399.5602826958311</v>
          </cell>
          <cell r="AA827">
            <v>-3685.4543224309364</v>
          </cell>
          <cell r="AB827">
            <v>-2940.3002769371324</v>
          </cell>
          <cell r="AC827">
            <v>-2195.1462314433293</v>
          </cell>
          <cell r="AD827">
            <v>-1822.5692086964282</v>
          </cell>
          <cell r="AE827">
            <v>-1822.5692086964309</v>
          </cell>
          <cell r="AF827">
            <v>-1822.5692086964345</v>
          </cell>
          <cell r="AG827">
            <v>-1822.56920869644</v>
          </cell>
          <cell r="AH827">
            <v>-1822.5692086964436</v>
          </cell>
          <cell r="AI827">
            <v>-1822.5692086964468</v>
          </cell>
          <cell r="AJ827">
            <v>-1822.5692086964505</v>
          </cell>
          <cell r="AK827">
            <v>-2097.8086600627166</v>
          </cell>
          <cell r="AL827">
            <v>-1465.8547948774558</v>
          </cell>
          <cell r="AM827">
            <v>-1465.8547948774572</v>
          </cell>
          <cell r="AN827">
            <v>-1465.8547948774594</v>
          </cell>
          <cell r="AO827">
            <v>-1465.8547948774612</v>
          </cell>
          <cell r="AP827">
            <v>-1465.8547948774635</v>
          </cell>
          <cell r="AQ827">
            <v>0</v>
          </cell>
          <cell r="AR827">
            <v>0</v>
          </cell>
          <cell r="AS827">
            <v>0</v>
          </cell>
          <cell r="AT827">
            <v>0</v>
          </cell>
        </row>
        <row r="828">
          <cell r="E828" t="str">
            <v>Financial income</v>
          </cell>
          <cell r="F828" t="str">
            <v>[R$ '000]</v>
          </cell>
          <cell r="M828">
            <v>2240.0616095494788</v>
          </cell>
          <cell r="N828">
            <v>619.33858394512515</v>
          </cell>
          <cell r="O828">
            <v>719.32695874943647</v>
          </cell>
          <cell r="P828">
            <v>1024.8810433589219</v>
          </cell>
          <cell r="Q828">
            <v>2304.6907093380546</v>
          </cell>
          <cell r="R828">
            <v>2308.6748445737653</v>
          </cell>
          <cell r="S828">
            <v>2308.6931469749675</v>
          </cell>
          <cell r="T828">
            <v>2308.6931469749675</v>
          </cell>
          <cell r="U828">
            <v>2308.6931469749675</v>
          </cell>
          <cell r="V828">
            <v>2308.6931469749675</v>
          </cell>
          <cell r="W828">
            <v>2308.6931469749675</v>
          </cell>
          <cell r="X828">
            <v>2308.6931469749675</v>
          </cell>
          <cell r="Y828">
            <v>1901.9589262931777</v>
          </cell>
          <cell r="Z828">
            <v>1901.9399983415042</v>
          </cell>
          <cell r="AA828">
            <v>1901.9399983415042</v>
          </cell>
          <cell r="AB828">
            <v>1901.9399983415042</v>
          </cell>
          <cell r="AC828">
            <v>1901.9399983415042</v>
          </cell>
          <cell r="AD828">
            <v>1901.9399983415042</v>
          </cell>
          <cell r="AE828">
            <v>1901.9399983415042</v>
          </cell>
          <cell r="AF828">
            <v>1901.9399983415042</v>
          </cell>
          <cell r="AG828">
            <v>1901.9399983415042</v>
          </cell>
          <cell r="AH828">
            <v>1901.9399983415042</v>
          </cell>
          <cell r="AI828">
            <v>1901.9399983415042</v>
          </cell>
          <cell r="AJ828">
            <v>1901.9399983415042</v>
          </cell>
          <cell r="AK828">
            <v>2259.640999208973</v>
          </cell>
          <cell r="AL828">
            <v>2265.830451940697</v>
          </cell>
          <cell r="AM828">
            <v>2265.830451940697</v>
          </cell>
          <cell r="AN828">
            <v>2265.830451940697</v>
          </cell>
          <cell r="AO828">
            <v>2265.830451940697</v>
          </cell>
          <cell r="AP828">
            <v>2265.830451940697</v>
          </cell>
          <cell r="AQ828">
            <v>0</v>
          </cell>
          <cell r="AR828">
            <v>0</v>
          </cell>
          <cell r="AS828">
            <v>0</v>
          </cell>
          <cell r="AT828">
            <v>0</v>
          </cell>
        </row>
        <row r="829">
          <cell r="E829" t="str">
            <v>Financial expense</v>
          </cell>
          <cell r="F829" t="str">
            <v>[R$ '000]</v>
          </cell>
          <cell r="M829">
            <v>0</v>
          </cell>
          <cell r="N829">
            <v>-5653.0863609501366</v>
          </cell>
          <cell r="O829">
            <v>-10706.276490427668</v>
          </cell>
          <cell r="P829">
            <v>-15902.43698780595</v>
          </cell>
          <cell r="Q829">
            <v>-20458.097628589454</v>
          </cell>
          <cell r="R829">
            <v>-19061.351007181365</v>
          </cell>
          <cell r="S829">
            <v>-17672.629047322094</v>
          </cell>
          <cell r="T829">
            <v>-16235.590156161717</v>
          </cell>
          <cell r="U829">
            <v>-14767.503179772428</v>
          </cell>
          <cell r="V829">
            <v>-13268.368118154232</v>
          </cell>
          <cell r="W829">
            <v>-11738.184971307128</v>
          </cell>
          <cell r="X829">
            <v>-10176.953739231116</v>
          </cell>
          <cell r="Y829">
            <v>-6985.0199688493949</v>
          </cell>
          <cell r="Z829">
            <v>-6301.5002810373353</v>
          </cell>
          <cell r="AA829">
            <v>-5587.3943207724406</v>
          </cell>
          <cell r="AB829">
            <v>-4842.2402752786365</v>
          </cell>
          <cell r="AC829">
            <v>-4097.0862297848334</v>
          </cell>
          <cell r="AD829">
            <v>-3724.5092070379324</v>
          </cell>
          <cell r="AE829">
            <v>-3724.5092070379351</v>
          </cell>
          <cell r="AF829">
            <v>-3724.5092070379387</v>
          </cell>
          <cell r="AG829">
            <v>-3724.5092070379442</v>
          </cell>
          <cell r="AH829">
            <v>-3724.5092070379478</v>
          </cell>
          <cell r="AI829">
            <v>-3724.509207037951</v>
          </cell>
          <cell r="AJ829">
            <v>-3724.5092070379546</v>
          </cell>
          <cell r="AK829">
            <v>-4357.4496592716896</v>
          </cell>
          <cell r="AL829">
            <v>-3731.6852468181528</v>
          </cell>
          <cell r="AM829">
            <v>-3731.6852468181542</v>
          </cell>
          <cell r="AN829">
            <v>-3731.6852468181564</v>
          </cell>
          <cell r="AO829">
            <v>-3731.6852468181582</v>
          </cell>
          <cell r="AP829">
            <v>-3731.6852468181605</v>
          </cell>
          <cell r="AQ829">
            <v>0</v>
          </cell>
          <cell r="AR829">
            <v>0</v>
          </cell>
          <cell r="AS829">
            <v>0</v>
          </cell>
          <cell r="AT829">
            <v>0</v>
          </cell>
        </row>
        <row r="831">
          <cell r="E831" t="str">
            <v>Financial income</v>
          </cell>
          <cell r="F831" t="str">
            <v>[R$ '000]</v>
          </cell>
          <cell r="M831">
            <v>2240.0616095494788</v>
          </cell>
          <cell r="N831">
            <v>619.33858394512515</v>
          </cell>
          <cell r="O831">
            <v>719.32695874943647</v>
          </cell>
          <cell r="P831">
            <v>1024.8810433589219</v>
          </cell>
          <cell r="Q831">
            <v>2304.6907093380546</v>
          </cell>
          <cell r="R831">
            <v>2308.6748445737653</v>
          </cell>
          <cell r="S831">
            <v>2308.6931469749675</v>
          </cell>
          <cell r="T831">
            <v>2308.6931469749675</v>
          </cell>
          <cell r="U831">
            <v>2308.6931469749675</v>
          </cell>
          <cell r="V831">
            <v>2308.6931469749675</v>
          </cell>
          <cell r="W831">
            <v>2308.6931469749675</v>
          </cell>
          <cell r="X831">
            <v>2308.6931469749675</v>
          </cell>
          <cell r="Y831">
            <v>1901.9589262931777</v>
          </cell>
          <cell r="Z831">
            <v>1901.9399983415042</v>
          </cell>
          <cell r="AA831">
            <v>1901.9399983415042</v>
          </cell>
          <cell r="AB831">
            <v>1901.9399983415042</v>
          </cell>
          <cell r="AC831">
            <v>1901.9399983415042</v>
          </cell>
          <cell r="AD831">
            <v>1901.9399983415042</v>
          </cell>
          <cell r="AE831">
            <v>1901.9399983415042</v>
          </cell>
          <cell r="AF831">
            <v>1901.9399983415042</v>
          </cell>
          <cell r="AG831">
            <v>1901.9399983415042</v>
          </cell>
          <cell r="AH831">
            <v>1901.9399983415042</v>
          </cell>
          <cell r="AI831">
            <v>1901.9399983415042</v>
          </cell>
          <cell r="AJ831">
            <v>1901.9399983415042</v>
          </cell>
          <cell r="AK831">
            <v>2259.640999208973</v>
          </cell>
          <cell r="AL831">
            <v>2265.830451940697</v>
          </cell>
          <cell r="AM831">
            <v>2265.830451940697</v>
          </cell>
          <cell r="AN831">
            <v>2265.830451940697</v>
          </cell>
          <cell r="AO831">
            <v>2265.830451940697</v>
          </cell>
          <cell r="AP831">
            <v>2265.830451940697</v>
          </cell>
          <cell r="AQ831">
            <v>0</v>
          </cell>
          <cell r="AR831">
            <v>0</v>
          </cell>
          <cell r="AS831">
            <v>0</v>
          </cell>
          <cell r="AT831">
            <v>0</v>
          </cell>
        </row>
        <row r="832">
          <cell r="E832" t="str">
            <v>Cash</v>
          </cell>
          <cell r="F832" t="str">
            <v>[R$ '000]</v>
          </cell>
          <cell r="M832">
            <v>36359</v>
          </cell>
          <cell r="N832">
            <v>15313.219869392109</v>
          </cell>
          <cell r="O832">
            <v>17245.657132868655</v>
          </cell>
          <cell r="P832">
            <v>24847.40669073665</v>
          </cell>
          <cell r="Q832">
            <v>55843.19186184468</v>
          </cell>
          <cell r="R832">
            <v>55939.728385149036</v>
          </cell>
          <cell r="S832">
            <v>55940.17185658653</v>
          </cell>
          <cell r="T832">
            <v>55940.17185658653</v>
          </cell>
          <cell r="U832">
            <v>55940.17185658653</v>
          </cell>
          <cell r="V832">
            <v>55940.17185658653</v>
          </cell>
          <cell r="W832">
            <v>55940.17185658653</v>
          </cell>
          <cell r="X832">
            <v>55940.17185658653</v>
          </cell>
          <cell r="Y832">
            <v>46084.907100113109</v>
          </cell>
          <cell r="Z832">
            <v>46084.448471442214</v>
          </cell>
          <cell r="AA832">
            <v>46084.448471442214</v>
          </cell>
          <cell r="AB832">
            <v>46084.448471442214</v>
          </cell>
          <cell r="AC832">
            <v>46084.448471442214</v>
          </cell>
          <cell r="AD832">
            <v>46084.448471442214</v>
          </cell>
          <cell r="AE832">
            <v>46084.448471442214</v>
          </cell>
          <cell r="AF832">
            <v>46084.448471442214</v>
          </cell>
          <cell r="AG832">
            <v>46084.448471442214</v>
          </cell>
          <cell r="AH832">
            <v>46084.448471442214</v>
          </cell>
          <cell r="AI832">
            <v>46084.448471442214</v>
          </cell>
          <cell r="AJ832">
            <v>46084.448471442214</v>
          </cell>
          <cell r="AK832">
            <v>54751.626908740262</v>
          </cell>
          <cell r="AL832">
            <v>54901.598787837545</v>
          </cell>
          <cell r="AM832">
            <v>54901.598787837545</v>
          </cell>
          <cell r="AN832">
            <v>54901.598787837545</v>
          </cell>
          <cell r="AO832">
            <v>54901.598787837545</v>
          </cell>
          <cell r="AP832">
            <v>54901.598787837545</v>
          </cell>
          <cell r="AQ832">
            <v>53931.377533112944</v>
          </cell>
          <cell r="AR832">
            <v>116320.05260463628</v>
          </cell>
          <cell r="AS832">
            <v>116320.05260463628</v>
          </cell>
          <cell r="AT832">
            <v>116320.05260463628</v>
          </cell>
        </row>
        <row r="833">
          <cell r="E833" t="str">
            <v>Interest</v>
          </cell>
          <cell r="F833" t="str">
            <v>[%]</v>
          </cell>
          <cell r="M833">
            <v>6.160954948016939E-2</v>
          </cell>
          <cell r="N833">
            <v>4.044470001916789E-2</v>
          </cell>
          <cell r="O833">
            <v>4.1710614632275433E-2</v>
          </cell>
          <cell r="P833">
            <v>4.1247002398081545E-2</v>
          </cell>
          <cell r="Q833">
            <v>4.127075535080138E-2</v>
          </cell>
          <cell r="R833">
            <v>4.127075535080138E-2</v>
          </cell>
          <cell r="S833">
            <v>4.127075535080138E-2</v>
          </cell>
          <cell r="T833">
            <v>4.127075535080138E-2</v>
          </cell>
          <cell r="U833">
            <v>4.127075535080138E-2</v>
          </cell>
          <cell r="V833">
            <v>4.127075535080138E-2</v>
          </cell>
          <cell r="W833">
            <v>4.127075535080138E-2</v>
          </cell>
          <cell r="X833">
            <v>4.127075535080138E-2</v>
          </cell>
          <cell r="Y833">
            <v>4.127075535080138E-2</v>
          </cell>
          <cell r="Z833">
            <v>4.127075535080138E-2</v>
          </cell>
          <cell r="AA833">
            <v>4.127075535080138E-2</v>
          </cell>
          <cell r="AB833">
            <v>4.127075535080138E-2</v>
          </cell>
          <cell r="AC833">
            <v>4.127075535080138E-2</v>
          </cell>
          <cell r="AD833">
            <v>4.127075535080138E-2</v>
          </cell>
          <cell r="AE833">
            <v>4.127075535080138E-2</v>
          </cell>
          <cell r="AF833">
            <v>4.127075535080138E-2</v>
          </cell>
          <cell r="AG833">
            <v>4.127075535080138E-2</v>
          </cell>
          <cell r="AH833">
            <v>4.127075535080138E-2</v>
          </cell>
          <cell r="AI833">
            <v>4.127075535080138E-2</v>
          </cell>
          <cell r="AJ833">
            <v>4.127075535080138E-2</v>
          </cell>
          <cell r="AK833">
            <v>4.127075535080138E-2</v>
          </cell>
          <cell r="AL833">
            <v>4.127075535080138E-2</v>
          </cell>
          <cell r="AM833">
            <v>4.127075535080138E-2</v>
          </cell>
          <cell r="AN833">
            <v>4.127075535080138E-2</v>
          </cell>
          <cell r="AO833">
            <v>4.127075535080138E-2</v>
          </cell>
          <cell r="AP833">
            <v>4.127075535080138E-2</v>
          </cell>
          <cell r="AQ833">
            <v>4.127075535080138E-2</v>
          </cell>
          <cell r="AR833">
            <v>4.127075535080138E-2</v>
          </cell>
          <cell r="AS833">
            <v>4.127075535080138E-2</v>
          </cell>
          <cell r="AT833">
            <v>4.127075535080138E-2</v>
          </cell>
        </row>
        <row r="835">
          <cell r="E835" t="str">
            <v>Financial expense</v>
          </cell>
          <cell r="F835" t="str">
            <v>[R$ '000]</v>
          </cell>
          <cell r="M835">
            <v>0</v>
          </cell>
          <cell r="N835">
            <v>-5653.0863609501366</v>
          </cell>
          <cell r="O835">
            <v>-10706.276490427668</v>
          </cell>
          <cell r="P835">
            <v>-15902.43698780595</v>
          </cell>
          <cell r="Q835">
            <v>-20458.097628589454</v>
          </cell>
          <cell r="R835">
            <v>-19061.351007181365</v>
          </cell>
          <cell r="S835">
            <v>-17672.629047322094</v>
          </cell>
          <cell r="T835">
            <v>-16235.590156161717</v>
          </cell>
          <cell r="U835">
            <v>-14767.503179772428</v>
          </cell>
          <cell r="V835">
            <v>-13268.368118154232</v>
          </cell>
          <cell r="W835">
            <v>-11738.184971307128</v>
          </cell>
          <cell r="X835">
            <v>-10176.953739231116</v>
          </cell>
          <cell r="Y835">
            <v>-6985.0199688493949</v>
          </cell>
          <cell r="Z835">
            <v>-6301.5002810373353</v>
          </cell>
          <cell r="AA835">
            <v>-5587.3943207724406</v>
          </cell>
          <cell r="AB835">
            <v>-4842.2402752786365</v>
          </cell>
          <cell r="AC835">
            <v>-4097.0862297848334</v>
          </cell>
          <cell r="AD835">
            <v>-3724.5092070379324</v>
          </cell>
          <cell r="AE835">
            <v>-3724.5092070379351</v>
          </cell>
          <cell r="AF835">
            <v>-3724.5092070379387</v>
          </cell>
          <cell r="AG835">
            <v>-3724.5092070379442</v>
          </cell>
          <cell r="AH835">
            <v>-3724.5092070379478</v>
          </cell>
          <cell r="AI835">
            <v>-3724.509207037951</v>
          </cell>
          <cell r="AJ835">
            <v>-3724.5092070379546</v>
          </cell>
          <cell r="AK835">
            <v>-4357.4496592716896</v>
          </cell>
          <cell r="AL835">
            <v>-3731.6852468181528</v>
          </cell>
          <cell r="AM835">
            <v>-3731.6852468181542</v>
          </cell>
          <cell r="AN835">
            <v>-3731.6852468181564</v>
          </cell>
          <cell r="AO835">
            <v>-3731.6852468181582</v>
          </cell>
          <cell r="AP835">
            <v>-3731.6852468181605</v>
          </cell>
          <cell r="AQ835">
            <v>0</v>
          </cell>
          <cell r="AR835">
            <v>0</v>
          </cell>
          <cell r="AS835">
            <v>0</v>
          </cell>
          <cell r="AT835">
            <v>0</v>
          </cell>
        </row>
        <row r="836">
          <cell r="E836" t="str">
            <v>Loan and Financing</v>
          </cell>
          <cell r="F836" t="str">
            <v>[R$ '000]</v>
          </cell>
          <cell r="M836">
            <v>0</v>
          </cell>
          <cell r="N836">
            <v>92289.87215257519</v>
          </cell>
          <cell r="O836">
            <v>171177.64996423334</v>
          </cell>
          <cell r="P836">
            <v>256193.6417831509</v>
          </cell>
          <cell r="Q836">
            <v>329458.2818514852</v>
          </cell>
          <cell r="R836">
            <v>306965.00068599178</v>
          </cell>
          <cell r="S836">
            <v>284600.94909278373</v>
          </cell>
          <cell r="T836">
            <v>261458.79909278374</v>
          </cell>
          <cell r="U836">
            <v>237816.64909278369</v>
          </cell>
          <cell r="V836">
            <v>213674.49909278366</v>
          </cell>
          <cell r="W836">
            <v>189032.34909278367</v>
          </cell>
          <cell r="X836">
            <v>163890.19909278365</v>
          </cell>
          <cell r="Y836">
            <v>112487.1295178243</v>
          </cell>
          <cell r="Z836">
            <v>101479.69246055227</v>
          </cell>
          <cell r="AA836">
            <v>89979.692460552338</v>
          </cell>
          <cell r="AB836">
            <v>77979.692460552411</v>
          </cell>
          <cell r="AC836">
            <v>65979.692460552498</v>
          </cell>
          <cell r="AD836">
            <v>59979.692460552542</v>
          </cell>
          <cell r="AE836">
            <v>59979.692460552586</v>
          </cell>
          <cell r="AF836">
            <v>59979.692460552644</v>
          </cell>
          <cell r="AG836">
            <v>59979.692460552731</v>
          </cell>
          <cell r="AH836">
            <v>59979.692460552789</v>
          </cell>
          <cell r="AI836">
            <v>59979.69246055284</v>
          </cell>
          <cell r="AJ836">
            <v>59979.692460552898</v>
          </cell>
          <cell r="AK836">
            <v>70172.598843784683</v>
          </cell>
          <cell r="AL836">
            <v>60095.255783174747</v>
          </cell>
          <cell r="AM836">
            <v>60095.255783174769</v>
          </cell>
          <cell r="AN836">
            <v>60095.255783174805</v>
          </cell>
          <cell r="AO836">
            <v>60095.255783174835</v>
          </cell>
          <cell r="AP836">
            <v>60095.255783174871</v>
          </cell>
          <cell r="AQ836">
            <v>35780.202604636863</v>
          </cell>
          <cell r="AR836">
            <v>35780.202604636863</v>
          </cell>
          <cell r="AS836">
            <v>35780.202604636863</v>
          </cell>
          <cell r="AT836">
            <v>35780.202604636863</v>
          </cell>
        </row>
        <row r="837">
          <cell r="E837" t="str">
            <v>Interest</v>
          </cell>
          <cell r="F837" t="str">
            <v>[%]</v>
          </cell>
          <cell r="M837">
            <v>8.2841740469772773E-2</v>
          </cell>
          <cell r="N837">
            <v>6.1253594019551327E-2</v>
          </cell>
          <cell r="O837">
            <v>6.2544826924920915E-2</v>
          </cell>
          <cell r="P837">
            <v>6.2071942446043193E-2</v>
          </cell>
          <cell r="Q837">
            <v>6.2096170457817346E-2</v>
          </cell>
          <cell r="R837">
            <v>6.2096170457817346E-2</v>
          </cell>
          <cell r="S837">
            <v>6.2096170457817346E-2</v>
          </cell>
          <cell r="T837">
            <v>6.2096170457817346E-2</v>
          </cell>
          <cell r="U837">
            <v>6.2096170457817346E-2</v>
          </cell>
          <cell r="V837">
            <v>6.2096170457817346E-2</v>
          </cell>
          <cell r="W837">
            <v>6.2096170457817346E-2</v>
          </cell>
          <cell r="X837">
            <v>6.2096170457817346E-2</v>
          </cell>
          <cell r="Y837">
            <v>6.2096170457817346E-2</v>
          </cell>
          <cell r="Z837">
            <v>6.2096170457817346E-2</v>
          </cell>
          <cell r="AA837">
            <v>6.2096170457817346E-2</v>
          </cell>
          <cell r="AB837">
            <v>6.2096170457817346E-2</v>
          </cell>
          <cell r="AC837">
            <v>6.2096170457817346E-2</v>
          </cell>
          <cell r="AD837">
            <v>6.2096170457817346E-2</v>
          </cell>
          <cell r="AE837">
            <v>6.2096170457817346E-2</v>
          </cell>
          <cell r="AF837">
            <v>6.2096170457817346E-2</v>
          </cell>
          <cell r="AG837">
            <v>6.2096170457817346E-2</v>
          </cell>
          <cell r="AH837">
            <v>6.2096170457817346E-2</v>
          </cell>
          <cell r="AI837">
            <v>6.2096170457817346E-2</v>
          </cell>
          <cell r="AJ837">
            <v>6.2096170457817346E-2</v>
          </cell>
          <cell r="AK837">
            <v>6.2096170457817346E-2</v>
          </cell>
          <cell r="AL837">
            <v>6.2096170457817346E-2</v>
          </cell>
          <cell r="AM837">
            <v>6.2096170457817346E-2</v>
          </cell>
          <cell r="AN837">
            <v>6.2096170457817346E-2</v>
          </cell>
          <cell r="AO837">
            <v>6.2096170457817346E-2</v>
          </cell>
          <cell r="AP837">
            <v>6.2096170457817346E-2</v>
          </cell>
          <cell r="AQ837">
            <v>6.2096170457817346E-2</v>
          </cell>
          <cell r="AR837">
            <v>6.2096170457817346E-2</v>
          </cell>
          <cell r="AS837">
            <v>6.2096170457817346E-2</v>
          </cell>
          <cell r="AT837">
            <v>6.2096170457817346E-2</v>
          </cell>
        </row>
        <row r="838">
          <cell r="E838" t="str">
            <v>CDI - IPCA</v>
          </cell>
          <cell r="F838" t="str">
            <v>[%]</v>
          </cell>
          <cell r="M838">
            <v>6.160954948016939E-2</v>
          </cell>
          <cell r="N838">
            <v>4.044470001916789E-2</v>
          </cell>
          <cell r="O838">
            <v>4.1710614632275433E-2</v>
          </cell>
          <cell r="P838">
            <v>4.1247002398081545E-2</v>
          </cell>
          <cell r="Q838">
            <v>4.127075535080138E-2</v>
          </cell>
          <cell r="R838">
            <v>4.127075535080138E-2</v>
          </cell>
          <cell r="S838">
            <v>4.127075535080138E-2</v>
          </cell>
          <cell r="T838">
            <v>4.127075535080138E-2</v>
          </cell>
          <cell r="U838">
            <v>4.127075535080138E-2</v>
          </cell>
          <cell r="V838">
            <v>4.127075535080138E-2</v>
          </cell>
          <cell r="W838">
            <v>4.127075535080138E-2</v>
          </cell>
          <cell r="X838">
            <v>4.127075535080138E-2</v>
          </cell>
          <cell r="Y838">
            <v>4.127075535080138E-2</v>
          </cell>
          <cell r="Z838">
            <v>4.127075535080138E-2</v>
          </cell>
          <cell r="AA838">
            <v>4.127075535080138E-2</v>
          </cell>
          <cell r="AB838">
            <v>4.127075535080138E-2</v>
          </cell>
          <cell r="AC838">
            <v>4.127075535080138E-2</v>
          </cell>
          <cell r="AD838">
            <v>4.127075535080138E-2</v>
          </cell>
          <cell r="AE838">
            <v>4.127075535080138E-2</v>
          </cell>
          <cell r="AF838">
            <v>4.127075535080138E-2</v>
          </cell>
          <cell r="AG838">
            <v>4.127075535080138E-2</v>
          </cell>
          <cell r="AH838">
            <v>4.127075535080138E-2</v>
          </cell>
          <cell r="AI838">
            <v>4.127075535080138E-2</v>
          </cell>
          <cell r="AJ838">
            <v>4.127075535080138E-2</v>
          </cell>
          <cell r="AK838">
            <v>4.127075535080138E-2</v>
          </cell>
          <cell r="AL838">
            <v>4.127075535080138E-2</v>
          </cell>
          <cell r="AM838">
            <v>4.127075535080138E-2</v>
          </cell>
          <cell r="AN838">
            <v>4.127075535080138E-2</v>
          </cell>
          <cell r="AO838">
            <v>4.127075535080138E-2</v>
          </cell>
          <cell r="AP838">
            <v>4.127075535080138E-2</v>
          </cell>
          <cell r="AQ838">
            <v>4.127075535080138E-2</v>
          </cell>
          <cell r="AR838">
            <v>4.127075535080138E-2</v>
          </cell>
          <cell r="AS838">
            <v>4.127075535080138E-2</v>
          </cell>
          <cell r="AT838">
            <v>4.127075535080138E-2</v>
          </cell>
        </row>
        <row r="839">
          <cell r="E839" t="str">
            <v>Spread</v>
          </cell>
          <cell r="F839" t="str">
            <v>[%]</v>
          </cell>
          <cell r="M839">
            <v>0.02</v>
          </cell>
          <cell r="N839">
            <v>0.02</v>
          </cell>
          <cell r="O839">
            <v>0.02</v>
          </cell>
          <cell r="P839">
            <v>0.02</v>
          </cell>
          <cell r="Q839">
            <v>0.02</v>
          </cell>
          <cell r="R839">
            <v>0.02</v>
          </cell>
          <cell r="S839">
            <v>0.02</v>
          </cell>
          <cell r="T839">
            <v>0.02</v>
          </cell>
          <cell r="U839">
            <v>0.02</v>
          </cell>
          <cell r="V839">
            <v>0.02</v>
          </cell>
          <cell r="W839">
            <v>0.02</v>
          </cell>
          <cell r="X839">
            <v>0.02</v>
          </cell>
          <cell r="Y839">
            <v>0.02</v>
          </cell>
          <cell r="Z839">
            <v>0.02</v>
          </cell>
          <cell r="AA839">
            <v>0.02</v>
          </cell>
          <cell r="AB839">
            <v>0.02</v>
          </cell>
          <cell r="AC839">
            <v>0.02</v>
          </cell>
          <cell r="AD839">
            <v>0.02</v>
          </cell>
          <cell r="AE839">
            <v>0.02</v>
          </cell>
          <cell r="AF839">
            <v>0.02</v>
          </cell>
          <cell r="AG839">
            <v>0.02</v>
          </cell>
          <cell r="AH839">
            <v>0.02</v>
          </cell>
          <cell r="AI839">
            <v>0.02</v>
          </cell>
          <cell r="AJ839">
            <v>0.02</v>
          </cell>
          <cell r="AK839">
            <v>0.02</v>
          </cell>
          <cell r="AL839">
            <v>0.02</v>
          </cell>
          <cell r="AM839">
            <v>0.02</v>
          </cell>
          <cell r="AN839">
            <v>0.02</v>
          </cell>
          <cell r="AO839">
            <v>0.02</v>
          </cell>
          <cell r="AP839">
            <v>0.02</v>
          </cell>
          <cell r="AQ839">
            <v>0.02</v>
          </cell>
          <cell r="AR839">
            <v>0.02</v>
          </cell>
          <cell r="AS839">
            <v>0.02</v>
          </cell>
          <cell r="AT839">
            <v>0.02</v>
          </cell>
        </row>
        <row r="842">
          <cell r="E842" t="str">
            <v xml:space="preserve">Existing debt - BoP </v>
          </cell>
          <cell r="F842" t="str">
            <v>[R$ '000]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row>
        <row r="843">
          <cell r="E843" t="str">
            <v>(+) Raising</v>
          </cell>
          <cell r="F843" t="str">
            <v>[R$ '000]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row>
        <row r="844">
          <cell r="E844" t="str">
            <v>(+) Amortization</v>
          </cell>
          <cell r="F844" t="str">
            <v>[R$ '000]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row>
        <row r="845">
          <cell r="E845" t="str">
            <v xml:space="preserve">Existing debt - EoP </v>
          </cell>
          <cell r="F845" t="str">
            <v>[R$ '000]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row>
        <row r="848">
          <cell r="E848" t="str">
            <v>Recap - BoP</v>
          </cell>
          <cell r="F848" t="str">
            <v>[R$ '000]</v>
          </cell>
          <cell r="L848">
            <v>0</v>
          </cell>
          <cell r="M848">
            <v>0</v>
          </cell>
          <cell r="N848">
            <v>92289.87215257519</v>
          </cell>
          <cell r="O848">
            <v>171177.64996423334</v>
          </cell>
          <cell r="P848">
            <v>256193.6417831509</v>
          </cell>
          <cell r="Q848">
            <v>329458.2818514852</v>
          </cell>
          <cell r="R848">
            <v>306965.00068599178</v>
          </cell>
          <cell r="S848">
            <v>284600.94909278373</v>
          </cell>
          <cell r="T848">
            <v>261458.79909278374</v>
          </cell>
          <cell r="U848">
            <v>237816.64909278369</v>
          </cell>
          <cell r="V848">
            <v>213674.49909278366</v>
          </cell>
          <cell r="W848">
            <v>189032.34909278367</v>
          </cell>
          <cell r="X848">
            <v>163890.19909278365</v>
          </cell>
          <cell r="Y848">
            <v>112487.1295178243</v>
          </cell>
          <cell r="Z848">
            <v>101479.69246055227</v>
          </cell>
          <cell r="AA848">
            <v>89979.692460552338</v>
          </cell>
          <cell r="AB848">
            <v>77979.692460552411</v>
          </cell>
          <cell r="AC848">
            <v>65979.692460552498</v>
          </cell>
          <cell r="AD848">
            <v>59979.692460552542</v>
          </cell>
          <cell r="AE848">
            <v>59979.692460552586</v>
          </cell>
          <cell r="AF848">
            <v>59979.692460552644</v>
          </cell>
          <cell r="AG848">
            <v>59979.692460552731</v>
          </cell>
          <cell r="AH848">
            <v>59979.692460552789</v>
          </cell>
          <cell r="AI848">
            <v>59979.69246055284</v>
          </cell>
          <cell r="AJ848">
            <v>59979.692460552898</v>
          </cell>
          <cell r="AK848">
            <v>70172.598843784683</v>
          </cell>
          <cell r="AL848">
            <v>60095.255783174747</v>
          </cell>
          <cell r="AM848">
            <v>60095.255783174769</v>
          </cell>
          <cell r="AN848">
            <v>60095.255783174805</v>
          </cell>
          <cell r="AO848">
            <v>60095.255783174835</v>
          </cell>
          <cell r="AP848">
            <v>60095.255783174871</v>
          </cell>
          <cell r="AQ848">
            <v>35780.202604636863</v>
          </cell>
          <cell r="AR848">
            <v>35780.202604636863</v>
          </cell>
          <cell r="AS848">
            <v>35780.202604636863</v>
          </cell>
          <cell r="AT848">
            <v>35780.202604636863</v>
          </cell>
        </row>
        <row r="849">
          <cell r="E849" t="str">
            <v>(+) Raising</v>
          </cell>
          <cell r="F849" t="str">
            <v>[R$ '000]</v>
          </cell>
          <cell r="L849">
            <v>0</v>
          </cell>
          <cell r="M849">
            <v>92289.87215257519</v>
          </cell>
          <cell r="N849">
            <v>101960.24584980193</v>
          </cell>
          <cell r="O849">
            <v>133578.52131951184</v>
          </cell>
          <cell r="P849">
            <v>155221.79989880652</v>
          </cell>
          <cell r="Q849">
            <v>98269.328639680447</v>
          </cell>
          <cell r="R849">
            <v>99893.422333742143</v>
          </cell>
          <cell r="S849">
            <v>98598.618047935248</v>
          </cell>
          <cell r="T849">
            <v>89353.642230041034</v>
          </cell>
          <cell r="U849">
            <v>72386.602812849684</v>
          </cell>
          <cell r="V849">
            <v>65415.921356142033</v>
          </cell>
          <cell r="W849">
            <v>56296.546111741976</v>
          </cell>
          <cell r="X849">
            <v>19460.108552734338</v>
          </cell>
          <cell r="Y849">
            <v>42382.357651094972</v>
          </cell>
          <cell r="Z849">
            <v>34388.733417928401</v>
          </cell>
          <cell r="AA849">
            <v>26131.936433375005</v>
          </cell>
          <cell r="AB849">
            <v>18590.784013783275</v>
          </cell>
          <cell r="AC849">
            <v>24373.452879045457</v>
          </cell>
          <cell r="AD849">
            <v>25871.226686033078</v>
          </cell>
          <cell r="AE849">
            <v>23741.850003059262</v>
          </cell>
          <cell r="AF849">
            <v>23144.328395480356</v>
          </cell>
          <cell r="AG849">
            <v>24282.714490904596</v>
          </cell>
          <cell r="AH849">
            <v>24260.029893869374</v>
          </cell>
          <cell r="AI849">
            <v>23857.230695828453</v>
          </cell>
          <cell r="AJ849">
            <v>34078.98225225247</v>
          </cell>
          <cell r="AK849">
            <v>16542.396272603786</v>
          </cell>
          <cell r="AL849">
            <v>24684.659778638546</v>
          </cell>
          <cell r="AM849">
            <v>24790.817249830849</v>
          </cell>
          <cell r="AN849">
            <v>25024.21388833144</v>
          </cell>
          <cell r="AO849">
            <v>22760.52179735119</v>
          </cell>
          <cell r="AP849">
            <v>0</v>
          </cell>
          <cell r="AQ849">
            <v>0</v>
          </cell>
          <cell r="AR849">
            <v>0</v>
          </cell>
          <cell r="AS849">
            <v>0</v>
          </cell>
          <cell r="AT849">
            <v>0</v>
          </cell>
        </row>
        <row r="850">
          <cell r="E850" t="str">
            <v>(+) Amortization</v>
          </cell>
          <cell r="F850" t="str">
            <v>[R$ '000]</v>
          </cell>
          <cell r="L850">
            <v>0</v>
          </cell>
          <cell r="M850">
            <v>0</v>
          </cell>
          <cell r="N850">
            <v>-23072.468038143797</v>
          </cell>
          <cell r="O850">
            <v>-48562.529500594275</v>
          </cell>
          <cell r="P850">
            <v>-81957.159830472243</v>
          </cell>
          <cell r="Q850">
            <v>-120762.60980517387</v>
          </cell>
          <cell r="R850">
            <v>-122257.47392695019</v>
          </cell>
          <cell r="S850">
            <v>-121740.76804793524</v>
          </cell>
          <cell r="T850">
            <v>-112995.79223004109</v>
          </cell>
          <cell r="U850">
            <v>-96528.752812849722</v>
          </cell>
          <cell r="V850">
            <v>-90058.071356142027</v>
          </cell>
          <cell r="W850">
            <v>-81438.696111742</v>
          </cell>
          <cell r="X850">
            <v>-70863.178127693682</v>
          </cell>
          <cell r="Y850">
            <v>-53389.794708367008</v>
          </cell>
          <cell r="Z850">
            <v>-45888.733417928328</v>
          </cell>
          <cell r="AA850">
            <v>-38131.936433374925</v>
          </cell>
          <cell r="AB850">
            <v>-30590.784013783181</v>
          </cell>
          <cell r="AC850">
            <v>-30373.452879045413</v>
          </cell>
          <cell r="AD850">
            <v>-25871.226686033035</v>
          </cell>
          <cell r="AE850">
            <v>-23741.850003059204</v>
          </cell>
          <cell r="AF850">
            <v>-23144.328395480268</v>
          </cell>
          <cell r="AG850">
            <v>-24282.714490904538</v>
          </cell>
          <cell r="AH850">
            <v>-24260.029893869323</v>
          </cell>
          <cell r="AI850">
            <v>-23857.230695828395</v>
          </cell>
          <cell r="AJ850">
            <v>-23886.075869020693</v>
          </cell>
          <cell r="AK850">
            <v>-26619.739333213722</v>
          </cell>
          <cell r="AL850">
            <v>-24684.659778638521</v>
          </cell>
          <cell r="AM850">
            <v>-24790.817249830812</v>
          </cell>
          <cell r="AN850">
            <v>-25024.213888331411</v>
          </cell>
          <cell r="AO850">
            <v>-22760.521797351157</v>
          </cell>
          <cell r="AP850">
            <v>-24315.053178538008</v>
          </cell>
          <cell r="AQ850">
            <v>0</v>
          </cell>
          <cell r="AR850">
            <v>0</v>
          </cell>
          <cell r="AS850">
            <v>0</v>
          </cell>
          <cell r="AT850">
            <v>0</v>
          </cell>
        </row>
        <row r="851">
          <cell r="E851" t="str">
            <v>Recap - EoP</v>
          </cell>
          <cell r="F851" t="str">
            <v>[R$ '000]</v>
          </cell>
          <cell r="L851">
            <v>0</v>
          </cell>
          <cell r="M851">
            <v>92289.87215257519</v>
          </cell>
          <cell r="N851">
            <v>171177.64996423334</v>
          </cell>
          <cell r="O851">
            <v>256193.6417831509</v>
          </cell>
          <cell r="P851">
            <v>329458.2818514852</v>
          </cell>
          <cell r="Q851">
            <v>306965.00068599178</v>
          </cell>
          <cell r="R851">
            <v>284600.94909278373</v>
          </cell>
          <cell r="S851">
            <v>261458.79909278374</v>
          </cell>
          <cell r="T851">
            <v>237816.64909278369</v>
          </cell>
          <cell r="U851">
            <v>213674.49909278366</v>
          </cell>
          <cell r="V851">
            <v>189032.34909278367</v>
          </cell>
          <cell r="W851">
            <v>163890.19909278365</v>
          </cell>
          <cell r="X851">
            <v>112487.1295178243</v>
          </cell>
          <cell r="Y851">
            <v>101479.69246055227</v>
          </cell>
          <cell r="Z851">
            <v>89979.692460552338</v>
          </cell>
          <cell r="AA851">
            <v>77979.692460552411</v>
          </cell>
          <cell r="AB851">
            <v>65979.692460552498</v>
          </cell>
          <cell r="AC851">
            <v>59979.692460552542</v>
          </cell>
          <cell r="AD851">
            <v>59979.692460552586</v>
          </cell>
          <cell r="AE851">
            <v>59979.692460552644</v>
          </cell>
          <cell r="AF851">
            <v>59979.692460552731</v>
          </cell>
          <cell r="AG851">
            <v>59979.692460552789</v>
          </cell>
          <cell r="AH851">
            <v>59979.69246055284</v>
          </cell>
          <cell r="AI851">
            <v>59979.692460552898</v>
          </cell>
          <cell r="AJ851">
            <v>70172.598843784683</v>
          </cell>
          <cell r="AK851">
            <v>60095.255783174747</v>
          </cell>
          <cell r="AL851">
            <v>60095.255783174769</v>
          </cell>
          <cell r="AM851">
            <v>60095.255783174805</v>
          </cell>
          <cell r="AN851">
            <v>60095.255783174835</v>
          </cell>
          <cell r="AO851">
            <v>60095.255783174871</v>
          </cell>
          <cell r="AP851">
            <v>35780.202604636863</v>
          </cell>
          <cell r="AQ851">
            <v>35780.202604636863</v>
          </cell>
          <cell r="AR851">
            <v>35780.202604636863</v>
          </cell>
          <cell r="AS851">
            <v>35780.202604636863</v>
          </cell>
          <cell r="AT851">
            <v>35780.202604636863</v>
          </cell>
        </row>
        <row r="853">
          <cell r="E853" t="str">
            <v>AUX:</v>
          </cell>
        </row>
        <row r="854">
          <cell r="E854" t="str">
            <v>Mine in operation</v>
          </cell>
          <cell r="F854" t="str">
            <v>[1/0]</v>
          </cell>
          <cell r="I854">
            <v>1</v>
          </cell>
          <cell r="J854">
            <v>1</v>
          </cell>
          <cell r="K854">
            <v>1</v>
          </cell>
          <cell r="L854">
            <v>1</v>
          </cell>
          <cell r="M854">
            <v>1</v>
          </cell>
          <cell r="N854">
            <v>1</v>
          </cell>
          <cell r="O854">
            <v>1</v>
          </cell>
          <cell r="P854">
            <v>1</v>
          </cell>
          <cell r="Q854">
            <v>1</v>
          </cell>
          <cell r="R854">
            <v>1</v>
          </cell>
          <cell r="S854">
            <v>1</v>
          </cell>
          <cell r="T854">
            <v>1</v>
          </cell>
          <cell r="U854">
            <v>1</v>
          </cell>
          <cell r="V854">
            <v>1</v>
          </cell>
          <cell r="W854">
            <v>1</v>
          </cell>
          <cell r="X854">
            <v>1</v>
          </cell>
          <cell r="Y854">
            <v>1</v>
          </cell>
          <cell r="Z854">
            <v>1</v>
          </cell>
          <cell r="AA854">
            <v>1</v>
          </cell>
          <cell r="AB854">
            <v>1</v>
          </cell>
          <cell r="AC854">
            <v>1</v>
          </cell>
          <cell r="AD854">
            <v>1</v>
          </cell>
          <cell r="AE854">
            <v>1</v>
          </cell>
          <cell r="AF854">
            <v>1</v>
          </cell>
          <cell r="AG854">
            <v>1</v>
          </cell>
          <cell r="AH854">
            <v>1</v>
          </cell>
          <cell r="AI854">
            <v>1</v>
          </cell>
          <cell r="AJ854">
            <v>1</v>
          </cell>
          <cell r="AK854">
            <v>1</v>
          </cell>
          <cell r="AL854">
            <v>1</v>
          </cell>
          <cell r="AM854">
            <v>1</v>
          </cell>
          <cell r="AN854">
            <v>1</v>
          </cell>
          <cell r="AO854">
            <v>1</v>
          </cell>
          <cell r="AP854">
            <v>1</v>
          </cell>
          <cell r="AQ854">
            <v>0</v>
          </cell>
          <cell r="AR854">
            <v>0</v>
          </cell>
          <cell r="AS854">
            <v>0</v>
          </cell>
          <cell r="AT854">
            <v>0</v>
          </cell>
        </row>
        <row r="856">
          <cell r="A856" t="str">
            <v>x</v>
          </cell>
          <cell r="B856">
            <v>12</v>
          </cell>
          <cell r="E856" t="str">
            <v>Income Taxes</v>
          </cell>
          <cell r="I856">
            <v>2013</v>
          </cell>
          <cell r="J856">
            <v>2014</v>
          </cell>
          <cell r="K856">
            <v>2015</v>
          </cell>
          <cell r="L856">
            <v>2016</v>
          </cell>
          <cell r="M856">
            <v>2017</v>
          </cell>
          <cell r="N856">
            <v>2018</v>
          </cell>
          <cell r="O856">
            <v>2019</v>
          </cell>
          <cell r="P856">
            <v>2020</v>
          </cell>
          <cell r="Q856">
            <v>2021</v>
          </cell>
          <cell r="R856">
            <v>2022</v>
          </cell>
          <cell r="S856">
            <v>2023</v>
          </cell>
          <cell r="T856">
            <v>2024</v>
          </cell>
          <cell r="U856">
            <v>2025</v>
          </cell>
          <cell r="V856">
            <v>2026</v>
          </cell>
          <cell r="W856">
            <v>2027</v>
          </cell>
          <cell r="X856">
            <v>2028</v>
          </cell>
          <cell r="Y856">
            <v>2029</v>
          </cell>
          <cell r="Z856">
            <v>2030</v>
          </cell>
          <cell r="AA856">
            <v>2031</v>
          </cell>
          <cell r="AB856">
            <v>2032</v>
          </cell>
          <cell r="AC856">
            <v>2033</v>
          </cell>
          <cell r="AD856">
            <v>2034</v>
          </cell>
          <cell r="AE856">
            <v>2035</v>
          </cell>
          <cell r="AF856">
            <v>2036</v>
          </cell>
          <cell r="AG856">
            <v>2037</v>
          </cell>
          <cell r="AH856">
            <v>2038</v>
          </cell>
          <cell r="AI856">
            <v>2039</v>
          </cell>
          <cell r="AJ856">
            <v>2040</v>
          </cell>
          <cell r="AK856">
            <v>2041</v>
          </cell>
          <cell r="AL856">
            <v>2042</v>
          </cell>
          <cell r="AM856">
            <v>2043</v>
          </cell>
          <cell r="AN856">
            <v>2044</v>
          </cell>
          <cell r="AO856">
            <v>2045</v>
          </cell>
          <cell r="AP856">
            <v>2046</v>
          </cell>
          <cell r="AQ856">
            <v>2047</v>
          </cell>
          <cell r="AR856">
            <v>2048</v>
          </cell>
          <cell r="AS856">
            <v>2049</v>
          </cell>
          <cell r="AT856">
            <v>2050</v>
          </cell>
        </row>
        <row r="858">
          <cell r="E858" t="str">
            <v>(=) Income Tax Expense</v>
          </cell>
          <cell r="F858" t="str">
            <v>[R$ '000]</v>
          </cell>
          <cell r="I858">
            <v>-107117</v>
          </cell>
          <cell r="J858">
            <v>-95737</v>
          </cell>
          <cell r="K858">
            <v>-46980</v>
          </cell>
          <cell r="L858">
            <v>-41126</v>
          </cell>
          <cell r="M858">
            <v>-73168.356052558593</v>
          </cell>
          <cell r="N858">
            <v>-66977.442672193254</v>
          </cell>
          <cell r="O858">
            <v>-67949.207920979141</v>
          </cell>
          <cell r="P858">
            <v>-175999.64884788319</v>
          </cell>
          <cell r="Q858">
            <v>-173051.64627236334</v>
          </cell>
          <cell r="R858">
            <v>-174218.05437648707</v>
          </cell>
          <cell r="S858">
            <v>-174520.22606565562</v>
          </cell>
          <cell r="T858">
            <v>-174838.81928865</v>
          </cell>
          <cell r="U858">
            <v>-175167.96886062235</v>
          </cell>
          <cell r="V858">
            <v>-175507.67478157268</v>
          </cell>
          <cell r="W858">
            <v>-175857.93705150072</v>
          </cell>
          <cell r="X858">
            <v>-147525.80165306243</v>
          </cell>
          <cell r="Y858">
            <v>-152513.45494405302</v>
          </cell>
          <cell r="Z858">
            <v>-152575.84520240556</v>
          </cell>
          <cell r="AA858">
            <v>-152648.64122889561</v>
          </cell>
          <cell r="AB858">
            <v>-152901.9936043635</v>
          </cell>
          <cell r="AC858">
            <v>-155195.34597983139</v>
          </cell>
          <cell r="AD858">
            <v>-157362.02216756533</v>
          </cell>
          <cell r="AE858">
            <v>-157362.02216756533</v>
          </cell>
          <cell r="AF858">
            <v>-157362.02216756533</v>
          </cell>
          <cell r="AG858">
            <v>-157362.02216756524</v>
          </cell>
          <cell r="AH858">
            <v>-157362.0221675653</v>
          </cell>
          <cell r="AI858">
            <v>-157362.02216756533</v>
          </cell>
          <cell r="AJ858">
            <v>-137376.61390893991</v>
          </cell>
          <cell r="AK858">
            <v>-105125.06487208675</v>
          </cell>
          <cell r="AL858">
            <v>-105339.92918624982</v>
          </cell>
          <cell r="AM858">
            <v>-105339.92918624982</v>
          </cell>
          <cell r="AN858">
            <v>-105339.92918624982</v>
          </cell>
          <cell r="AO858">
            <v>-105339.92918624975</v>
          </cell>
          <cell r="AP858">
            <v>-68714.740258431819</v>
          </cell>
          <cell r="AQ858">
            <v>0</v>
          </cell>
          <cell r="AR858">
            <v>0</v>
          </cell>
          <cell r="AS858">
            <v>0</v>
          </cell>
          <cell r="AT858">
            <v>0</v>
          </cell>
        </row>
        <row r="859">
          <cell r="E859" t="str">
            <v>EBT</v>
          </cell>
          <cell r="F859" t="str">
            <v>[R$ '000]</v>
          </cell>
          <cell r="I859">
            <v>325980.55041831575</v>
          </cell>
          <cell r="J859">
            <v>287283.51789526199</v>
          </cell>
          <cell r="K859">
            <v>159676</v>
          </cell>
          <cell r="L859">
            <v>149646.68003164505</v>
          </cell>
          <cell r="M859">
            <v>215201.04721340764</v>
          </cell>
          <cell r="N859">
            <v>196992.47844762722</v>
          </cell>
          <cell r="O859">
            <v>199850.61153229163</v>
          </cell>
          <cell r="P859">
            <v>517646.02602318593</v>
          </cell>
          <cell r="Q859">
            <v>508975.43021283345</v>
          </cell>
          <cell r="R859">
            <v>512406.04228378553</v>
          </cell>
          <cell r="S859">
            <v>513294.78254604602</v>
          </cell>
          <cell r="T859">
            <v>514231.82143720594</v>
          </cell>
          <cell r="U859">
            <v>515199.90841359523</v>
          </cell>
          <cell r="V859">
            <v>516199.04347521387</v>
          </cell>
          <cell r="W859">
            <v>517229.22662206099</v>
          </cell>
          <cell r="X859">
            <v>433899.41662665422</v>
          </cell>
          <cell r="Y859">
            <v>448568.98512956774</v>
          </cell>
          <cell r="Z859">
            <v>448752.48588942812</v>
          </cell>
          <cell r="AA859">
            <v>448966.59184969298</v>
          </cell>
          <cell r="AB859">
            <v>449711.74589518679</v>
          </cell>
          <cell r="AC859">
            <v>456456.8999406806</v>
          </cell>
          <cell r="AD859">
            <v>462829.4769634275</v>
          </cell>
          <cell r="AE859">
            <v>462829.4769634275</v>
          </cell>
          <cell r="AF859">
            <v>462829.4769634275</v>
          </cell>
          <cell r="AG859">
            <v>462829.47696342727</v>
          </cell>
          <cell r="AH859">
            <v>462829.47696342738</v>
          </cell>
          <cell r="AI859">
            <v>462829.4769634275</v>
          </cell>
          <cell r="AJ859">
            <v>404048.86443805858</v>
          </cell>
          <cell r="AK859">
            <v>309191.36727084342</v>
          </cell>
          <cell r="AL859">
            <v>309823.32113602891</v>
          </cell>
          <cell r="AM859">
            <v>309823.32113602891</v>
          </cell>
          <cell r="AN859">
            <v>309823.32113602891</v>
          </cell>
          <cell r="AO859">
            <v>309823.32113602868</v>
          </cell>
          <cell r="AP859">
            <v>202102.17723068185</v>
          </cell>
          <cell r="AQ859">
            <v>0</v>
          </cell>
          <cell r="AR859">
            <v>0</v>
          </cell>
          <cell r="AS859">
            <v>0</v>
          </cell>
          <cell r="AT859">
            <v>0</v>
          </cell>
        </row>
        <row r="860">
          <cell r="E860" t="str">
            <v>Effective tax rate</v>
          </cell>
          <cell r="F860" t="str">
            <v>[%]</v>
          </cell>
          <cell r="I860">
            <v>0.32859935926404726</v>
          </cell>
          <cell r="J860">
            <v>0.33324919125678437</v>
          </cell>
          <cell r="K860">
            <v>0.29422079711415616</v>
          </cell>
          <cell r="L860">
            <v>0.27482066418916401</v>
          </cell>
          <cell r="M860">
            <v>0.33999999999999997</v>
          </cell>
          <cell r="N860">
            <v>0.33999999999999997</v>
          </cell>
          <cell r="O860">
            <v>0.33999999999999997</v>
          </cell>
          <cell r="P860">
            <v>0.33999999999999997</v>
          </cell>
          <cell r="Q860">
            <v>0.33999999999999997</v>
          </cell>
          <cell r="R860">
            <v>0.33999999999999997</v>
          </cell>
          <cell r="S860">
            <v>0.33999999999999997</v>
          </cell>
          <cell r="T860">
            <v>0.33999999999999997</v>
          </cell>
          <cell r="U860">
            <v>0.33999999999999997</v>
          </cell>
          <cell r="V860">
            <v>0.33999999999999997</v>
          </cell>
          <cell r="W860">
            <v>0.33999999999999997</v>
          </cell>
          <cell r="X860">
            <v>0.33999999999999997</v>
          </cell>
          <cell r="Y860">
            <v>0.33999999999999997</v>
          </cell>
          <cell r="Z860">
            <v>0.33999999999999997</v>
          </cell>
          <cell r="AA860">
            <v>0.33999999999999997</v>
          </cell>
          <cell r="AB860">
            <v>0.33999999999999997</v>
          </cell>
          <cell r="AC860">
            <v>0.33999999999999997</v>
          </cell>
          <cell r="AD860">
            <v>0.33999999999999997</v>
          </cell>
          <cell r="AE860">
            <v>0.33999999999999997</v>
          </cell>
          <cell r="AF860">
            <v>0.33999999999999997</v>
          </cell>
          <cell r="AG860">
            <v>0.33999999999999997</v>
          </cell>
          <cell r="AH860">
            <v>0.33999999999999997</v>
          </cell>
          <cell r="AI860">
            <v>0.33999999999999997</v>
          </cell>
          <cell r="AJ860">
            <v>0.33999999999999997</v>
          </cell>
          <cell r="AK860">
            <v>0.33999999999999997</v>
          </cell>
          <cell r="AL860">
            <v>0.33999999999999997</v>
          </cell>
          <cell r="AM860">
            <v>0.33999999999999997</v>
          </cell>
          <cell r="AN860">
            <v>0.33999999999999997</v>
          </cell>
          <cell r="AO860">
            <v>0.33999999999999997</v>
          </cell>
          <cell r="AP860">
            <v>0.33999999999999997</v>
          </cell>
          <cell r="AQ860">
            <v>0.33999999999999997</v>
          </cell>
          <cell r="AR860">
            <v>0.33999999999999997</v>
          </cell>
          <cell r="AS860">
            <v>0.33999999999999997</v>
          </cell>
          <cell r="AT860">
            <v>0.33999999999999997</v>
          </cell>
        </row>
        <row r="863">
          <cell r="A863" t="str">
            <v>x</v>
          </cell>
          <cell r="B863">
            <v>13</v>
          </cell>
          <cell r="E863" t="str">
            <v>Equity</v>
          </cell>
          <cell r="I863">
            <v>2013</v>
          </cell>
          <cell r="J863">
            <v>2014</v>
          </cell>
          <cell r="K863">
            <v>2015</v>
          </cell>
          <cell r="L863">
            <v>2016</v>
          </cell>
          <cell r="M863">
            <v>2017</v>
          </cell>
          <cell r="N863">
            <v>2018</v>
          </cell>
          <cell r="O863">
            <v>2019</v>
          </cell>
          <cell r="P863">
            <v>2020</v>
          </cell>
          <cell r="Q863">
            <v>2021</v>
          </cell>
          <cell r="R863">
            <v>2022</v>
          </cell>
          <cell r="S863">
            <v>2023</v>
          </cell>
          <cell r="T863">
            <v>2024</v>
          </cell>
          <cell r="U863">
            <v>2025</v>
          </cell>
          <cell r="V863">
            <v>2026</v>
          </cell>
          <cell r="W863">
            <v>2027</v>
          </cell>
          <cell r="X863">
            <v>2028</v>
          </cell>
          <cell r="Y863">
            <v>2029</v>
          </cell>
          <cell r="Z863">
            <v>2030</v>
          </cell>
          <cell r="AA863">
            <v>2031</v>
          </cell>
          <cell r="AB863">
            <v>2032</v>
          </cell>
          <cell r="AC863">
            <v>2033</v>
          </cell>
          <cell r="AD863">
            <v>2034</v>
          </cell>
          <cell r="AE863">
            <v>2035</v>
          </cell>
          <cell r="AF863">
            <v>2036</v>
          </cell>
          <cell r="AG863">
            <v>2037</v>
          </cell>
          <cell r="AH863">
            <v>2038</v>
          </cell>
          <cell r="AI863">
            <v>2039</v>
          </cell>
          <cell r="AJ863">
            <v>2040</v>
          </cell>
          <cell r="AK863">
            <v>2041</v>
          </cell>
          <cell r="AL863">
            <v>2042</v>
          </cell>
          <cell r="AM863">
            <v>2043</v>
          </cell>
          <cell r="AN863">
            <v>2044</v>
          </cell>
          <cell r="AO863">
            <v>2045</v>
          </cell>
          <cell r="AP863">
            <v>2046</v>
          </cell>
          <cell r="AQ863">
            <v>2047</v>
          </cell>
          <cell r="AR863">
            <v>2048</v>
          </cell>
          <cell r="AS863">
            <v>2049</v>
          </cell>
          <cell r="AT863">
            <v>2050</v>
          </cell>
        </row>
        <row r="865">
          <cell r="E865" t="str">
            <v>Dividends</v>
          </cell>
        </row>
        <row r="867">
          <cell r="E867" t="str">
            <v>Minimum Cash Balance</v>
          </cell>
          <cell r="F867" t="str">
            <v>[R$ '000]</v>
          </cell>
          <cell r="G867">
            <v>8.3333333333333329E-2</v>
          </cell>
          <cell r="M867">
            <v>15313.219869392124</v>
          </cell>
          <cell r="N867">
            <v>17245.657132868655</v>
          </cell>
          <cell r="O867">
            <v>24847.40669073665</v>
          </cell>
          <cell r="P867">
            <v>55843.191861844651</v>
          </cell>
          <cell r="Q867">
            <v>55939.728385149021</v>
          </cell>
          <cell r="R867">
            <v>55940.17185658653</v>
          </cell>
          <cell r="S867">
            <v>55940.17185658653</v>
          </cell>
          <cell r="T867">
            <v>55940.17185658653</v>
          </cell>
          <cell r="U867">
            <v>55940.17185658653</v>
          </cell>
          <cell r="V867">
            <v>55940.17185658653</v>
          </cell>
          <cell r="W867">
            <v>55940.17185658653</v>
          </cell>
          <cell r="X867">
            <v>46084.90710011308</v>
          </cell>
          <cell r="Y867">
            <v>46084.44847144228</v>
          </cell>
          <cell r="Z867">
            <v>46084.44847144228</v>
          </cell>
          <cell r="AA867">
            <v>46084.44847144228</v>
          </cell>
          <cell r="AB867">
            <v>46084.44847144228</v>
          </cell>
          <cell r="AC867">
            <v>46084.44847144228</v>
          </cell>
          <cell r="AD867">
            <v>46084.44847144228</v>
          </cell>
          <cell r="AE867">
            <v>46084.44847144228</v>
          </cell>
          <cell r="AF867">
            <v>46084.44847144228</v>
          </cell>
          <cell r="AG867">
            <v>46084.44847144228</v>
          </cell>
          <cell r="AH867">
            <v>46084.448471442287</v>
          </cell>
          <cell r="AI867">
            <v>46084.44847144228</v>
          </cell>
          <cell r="AJ867">
            <v>54751.626908740327</v>
          </cell>
          <cell r="AK867">
            <v>54901.59878783756</v>
          </cell>
          <cell r="AL867">
            <v>54901.598787837582</v>
          </cell>
          <cell r="AM867">
            <v>54901.598787837582</v>
          </cell>
          <cell r="AN867">
            <v>54901.598787837582</v>
          </cell>
          <cell r="AO867">
            <v>54901.598787837574</v>
          </cell>
          <cell r="AP867">
            <v>42348.344133599952</v>
          </cell>
          <cell r="AQ867">
            <v>0</v>
          </cell>
          <cell r="AR867">
            <v>0</v>
          </cell>
          <cell r="AS867">
            <v>0</v>
          </cell>
          <cell r="AT867">
            <v>0</v>
          </cell>
        </row>
        <row r="868">
          <cell r="E868" t="str">
            <v>Proft Reserves - EoP</v>
          </cell>
          <cell r="F868" t="str">
            <v>[R$ '000]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row>
        <row r="869">
          <cell r="E869" t="str">
            <v>Cash - BoP</v>
          </cell>
          <cell r="F869" t="str">
            <v>[R$ '000]</v>
          </cell>
          <cell r="M869">
            <v>36359</v>
          </cell>
          <cell r="N869">
            <v>15313.219869392109</v>
          </cell>
          <cell r="O869">
            <v>17245.657132868655</v>
          </cell>
          <cell r="P869">
            <v>24847.40669073665</v>
          </cell>
          <cell r="Q869">
            <v>55843.19186184468</v>
          </cell>
          <cell r="R869">
            <v>55939.728385149036</v>
          </cell>
          <cell r="S869">
            <v>55940.17185658653</v>
          </cell>
          <cell r="T869">
            <v>55940.17185658653</v>
          </cell>
          <cell r="U869">
            <v>55940.17185658653</v>
          </cell>
          <cell r="V869">
            <v>55940.17185658653</v>
          </cell>
          <cell r="W869">
            <v>55940.17185658653</v>
          </cell>
          <cell r="X869">
            <v>55940.17185658653</v>
          </cell>
          <cell r="Y869">
            <v>46084.907100113109</v>
          </cell>
          <cell r="Z869">
            <v>46084.448471442214</v>
          </cell>
          <cell r="AA869">
            <v>46084.448471442214</v>
          </cell>
          <cell r="AB869">
            <v>46084.448471442214</v>
          </cell>
          <cell r="AC869">
            <v>46084.448471442214</v>
          </cell>
          <cell r="AD869">
            <v>46084.448471442214</v>
          </cell>
          <cell r="AE869">
            <v>46084.448471442214</v>
          </cell>
          <cell r="AF869">
            <v>46084.448471442214</v>
          </cell>
          <cell r="AG869">
            <v>46084.448471442214</v>
          </cell>
          <cell r="AH869">
            <v>46084.448471442214</v>
          </cell>
          <cell r="AI869">
            <v>46084.448471442214</v>
          </cell>
          <cell r="AJ869">
            <v>46084.448471442214</v>
          </cell>
          <cell r="AK869">
            <v>54751.626908740262</v>
          </cell>
          <cell r="AL869">
            <v>54901.598787837545</v>
          </cell>
          <cell r="AM869">
            <v>54901.598787837545</v>
          </cell>
          <cell r="AN869">
            <v>54901.598787837545</v>
          </cell>
          <cell r="AO869">
            <v>54901.598787837545</v>
          </cell>
          <cell r="AP869">
            <v>54901.598787837545</v>
          </cell>
          <cell r="AQ869">
            <v>53931.377533112944</v>
          </cell>
          <cell r="AR869">
            <v>116320.05260463628</v>
          </cell>
          <cell r="AS869">
            <v>116320.05260463628</v>
          </cell>
          <cell r="AT869">
            <v>116320.05260463628</v>
          </cell>
        </row>
        <row r="871">
          <cell r="E871" t="str">
            <v xml:space="preserve">(+) Operating Cash Flow </v>
          </cell>
          <cell r="F871" t="str">
            <v>[R$ '000]</v>
          </cell>
          <cell r="M871">
            <v>163013.038877666</v>
          </cell>
          <cell r="N871">
            <v>150559.69522725238</v>
          </cell>
          <cell r="O871">
            <v>151987.16135026293</v>
          </cell>
          <cell r="P871">
            <v>306877.52227807645</v>
          </cell>
          <cell r="Q871">
            <v>366013.60162926785</v>
          </cell>
          <cell r="R871">
            <v>368052.48297194403</v>
          </cell>
          <cell r="S871">
            <v>369416.70648039039</v>
          </cell>
          <cell r="T871">
            <v>370535.15214855596</v>
          </cell>
          <cell r="U871">
            <v>371674.08955297293</v>
          </cell>
          <cell r="V871">
            <v>372833.51869364118</v>
          </cell>
          <cell r="W871">
            <v>374013.43957056029</v>
          </cell>
          <cell r="X871">
            <v>335421.41979207768</v>
          </cell>
          <cell r="Y871">
            <v>314562.50861411588</v>
          </cell>
          <cell r="Z871">
            <v>315176.64068702259</v>
          </cell>
          <cell r="AA871">
            <v>315817.95062079735</v>
          </cell>
          <cell r="AB871">
            <v>316309.75229082326</v>
          </cell>
          <cell r="AC871">
            <v>314761.55396084918</v>
          </cell>
          <cell r="AD871">
            <v>312967.4547958622</v>
          </cell>
          <cell r="AE871">
            <v>312967.4547958622</v>
          </cell>
          <cell r="AF871">
            <v>312967.4547958622</v>
          </cell>
          <cell r="AG871">
            <v>312967.45479586202</v>
          </cell>
          <cell r="AH871">
            <v>312967.45479586208</v>
          </cell>
          <cell r="AI871">
            <v>312967.4547958622</v>
          </cell>
          <cell r="AJ871">
            <v>272646.522583185</v>
          </cell>
          <cell r="AK871">
            <v>221793.6173384639</v>
          </cell>
          <cell r="AL871">
            <v>211983.39194977909</v>
          </cell>
          <cell r="AM871">
            <v>211983.39194977909</v>
          </cell>
          <cell r="AN871">
            <v>211983.39194977909</v>
          </cell>
          <cell r="AO871">
            <v>211983.39194977895</v>
          </cell>
          <cell r="AP871">
            <v>164232.26889606344</v>
          </cell>
          <cell r="AQ871">
            <v>62388.675071523336</v>
          </cell>
          <cell r="AR871">
            <v>0</v>
          </cell>
          <cell r="AS871">
            <v>0</v>
          </cell>
          <cell r="AT871">
            <v>0</v>
          </cell>
        </row>
        <row r="872">
          <cell r="E872" t="str">
            <v xml:space="preserve">(+) Investing Cash Flow </v>
          </cell>
          <cell r="F872" t="str">
            <v>[R$ '000]</v>
          </cell>
          <cell r="M872">
            <v>-7500</v>
          </cell>
          <cell r="N872">
            <v>-97500</v>
          </cell>
          <cell r="O872">
            <v>-97500</v>
          </cell>
          <cell r="P872">
            <v>-7500</v>
          </cell>
          <cell r="Q872">
            <v>-7500</v>
          </cell>
          <cell r="R872">
            <v>-7500</v>
          </cell>
          <cell r="S872">
            <v>-7500</v>
          </cell>
          <cell r="T872">
            <v>-7500</v>
          </cell>
          <cell r="U872">
            <v>-7500</v>
          </cell>
          <cell r="V872">
            <v>-7500</v>
          </cell>
          <cell r="W872">
            <v>-7500</v>
          </cell>
          <cell r="X872">
            <v>-7500</v>
          </cell>
          <cell r="Y872">
            <v>-7500</v>
          </cell>
          <cell r="Z872">
            <v>-7500</v>
          </cell>
          <cell r="AA872">
            <v>-7500</v>
          </cell>
          <cell r="AB872">
            <v>-7500</v>
          </cell>
          <cell r="AC872">
            <v>-7500</v>
          </cell>
          <cell r="AD872">
            <v>-7500</v>
          </cell>
          <cell r="AE872">
            <v>-7500</v>
          </cell>
          <cell r="AF872">
            <v>-7500</v>
          </cell>
          <cell r="AG872">
            <v>-7500</v>
          </cell>
          <cell r="AH872">
            <v>-7500</v>
          </cell>
          <cell r="AI872">
            <v>-7500</v>
          </cell>
          <cell r="AJ872">
            <v>-7500</v>
          </cell>
          <cell r="AK872">
            <v>-7500</v>
          </cell>
          <cell r="AL872">
            <v>-7500</v>
          </cell>
          <cell r="AM872">
            <v>-7500</v>
          </cell>
          <cell r="AN872">
            <v>-7500</v>
          </cell>
          <cell r="AO872">
            <v>-7500</v>
          </cell>
          <cell r="AP872">
            <v>-7500</v>
          </cell>
          <cell r="AQ872">
            <v>0</v>
          </cell>
          <cell r="AR872">
            <v>0</v>
          </cell>
          <cell r="AS872">
            <v>0</v>
          </cell>
          <cell r="AT872">
            <v>0</v>
          </cell>
        </row>
        <row r="873">
          <cell r="E873" t="str">
            <v>(+) Existing debt amortization</v>
          </cell>
          <cell r="F873" t="str">
            <v>[R$ '000]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row>
        <row r="874">
          <cell r="E874" t="str">
            <v>(+) Capital increase</v>
          </cell>
          <cell r="F874" t="str">
            <v>[R$ '000]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row>
        <row r="875">
          <cell r="E875" t="str">
            <v>(+) Recap amortization</v>
          </cell>
          <cell r="F875" t="str">
            <v>[R$ '000]</v>
          </cell>
          <cell r="M875">
            <v>0</v>
          </cell>
          <cell r="N875">
            <v>-23072.468038143797</v>
          </cell>
          <cell r="O875">
            <v>-48562.529500594275</v>
          </cell>
          <cell r="P875">
            <v>-81957.159830472243</v>
          </cell>
          <cell r="Q875">
            <v>-120762.60980517387</v>
          </cell>
          <cell r="R875">
            <v>-122257.47392695019</v>
          </cell>
          <cell r="S875">
            <v>-121740.76804793524</v>
          </cell>
          <cell r="T875">
            <v>-112995.79223004109</v>
          </cell>
          <cell r="U875">
            <v>-96528.752812849722</v>
          </cell>
          <cell r="V875">
            <v>-90058.071356142027</v>
          </cell>
          <cell r="W875">
            <v>-81438.696111742</v>
          </cell>
          <cell r="X875">
            <v>-70863.178127693682</v>
          </cell>
          <cell r="Y875">
            <v>-53389.794708367008</v>
          </cell>
          <cell r="Z875">
            <v>-45888.733417928328</v>
          </cell>
          <cell r="AA875">
            <v>-38131.936433374925</v>
          </cell>
          <cell r="AB875">
            <v>-30590.784013783181</v>
          </cell>
          <cell r="AC875">
            <v>-30373.452879045413</v>
          </cell>
          <cell r="AD875">
            <v>-25871.226686033035</v>
          </cell>
          <cell r="AE875">
            <v>-23741.850003059204</v>
          </cell>
          <cell r="AF875">
            <v>-23144.328395480268</v>
          </cell>
          <cell r="AG875">
            <v>-24282.714490904538</v>
          </cell>
          <cell r="AH875">
            <v>-24260.029893869323</v>
          </cell>
          <cell r="AI875">
            <v>-23857.230695828395</v>
          </cell>
          <cell r="AJ875">
            <v>-23886.075869020693</v>
          </cell>
          <cell r="AK875">
            <v>-26619.739333213722</v>
          </cell>
          <cell r="AL875">
            <v>-24684.659778638521</v>
          </cell>
          <cell r="AM875">
            <v>-24790.817249830812</v>
          </cell>
          <cell r="AN875">
            <v>-25024.213888331411</v>
          </cell>
          <cell r="AO875">
            <v>-22760.521797351157</v>
          </cell>
          <cell r="AP875">
            <v>-24315.053178538008</v>
          </cell>
          <cell r="AQ875">
            <v>0</v>
          </cell>
          <cell r="AR875">
            <v>0</v>
          </cell>
          <cell r="AS875">
            <v>0</v>
          </cell>
          <cell r="AT875">
            <v>0</v>
          </cell>
        </row>
        <row r="876">
          <cell r="E876" t="str">
            <v>Cash Flow Before Dividends Distribution</v>
          </cell>
          <cell r="F876" t="str">
            <v>[R$ '000]</v>
          </cell>
          <cell r="M876">
            <v>155513.038877666</v>
          </cell>
          <cell r="N876">
            <v>29987.227189108584</v>
          </cell>
          <cell r="O876">
            <v>5924.6318496686581</v>
          </cell>
          <cell r="P876">
            <v>217420.36244760419</v>
          </cell>
          <cell r="Q876">
            <v>237750.99182409397</v>
          </cell>
          <cell r="R876">
            <v>238295.00904499384</v>
          </cell>
          <cell r="S876">
            <v>240175.93843245515</v>
          </cell>
          <cell r="T876">
            <v>250039.35991851488</v>
          </cell>
          <cell r="U876">
            <v>267645.33674012322</v>
          </cell>
          <cell r="V876">
            <v>275275.44733749912</v>
          </cell>
          <cell r="W876">
            <v>285074.7434588183</v>
          </cell>
          <cell r="X876">
            <v>257058.241664384</v>
          </cell>
          <cell r="Y876">
            <v>253672.71390574888</v>
          </cell>
          <cell r="Z876">
            <v>261787.90726909426</v>
          </cell>
          <cell r="AA876">
            <v>270186.01418742241</v>
          </cell>
          <cell r="AB876">
            <v>278218.96827704005</v>
          </cell>
          <cell r="AC876">
            <v>276888.10108180379</v>
          </cell>
          <cell r="AD876">
            <v>279596.22810982919</v>
          </cell>
          <cell r="AE876">
            <v>281725.604792803</v>
          </cell>
          <cell r="AF876">
            <v>282323.12640038191</v>
          </cell>
          <cell r="AG876">
            <v>281184.74030495749</v>
          </cell>
          <cell r="AH876">
            <v>281207.42490199278</v>
          </cell>
          <cell r="AI876">
            <v>281610.22410003381</v>
          </cell>
          <cell r="AJ876">
            <v>241260.44671416431</v>
          </cell>
          <cell r="AK876">
            <v>187673.87800525018</v>
          </cell>
          <cell r="AL876">
            <v>179798.73217114058</v>
          </cell>
          <cell r="AM876">
            <v>179692.57469994828</v>
          </cell>
          <cell r="AN876">
            <v>179459.17806144769</v>
          </cell>
          <cell r="AO876">
            <v>181722.87015242779</v>
          </cell>
          <cell r="AP876">
            <v>132417.21571752543</v>
          </cell>
          <cell r="AQ876">
            <v>62388.675071523336</v>
          </cell>
          <cell r="AR876">
            <v>0</v>
          </cell>
          <cell r="AS876">
            <v>0</v>
          </cell>
          <cell r="AT876">
            <v>0</v>
          </cell>
        </row>
        <row r="878">
          <cell r="E878" t="str">
            <v>Cash - EoP before Dividends distribution</v>
          </cell>
          <cell r="F878" t="str">
            <v>[R$ '000]</v>
          </cell>
          <cell r="M878">
            <v>191872.038877666</v>
          </cell>
          <cell r="N878">
            <v>45300.447058500693</v>
          </cell>
          <cell r="O878">
            <v>23170.288982537313</v>
          </cell>
          <cell r="P878">
            <v>242267.76913834084</v>
          </cell>
          <cell r="Q878">
            <v>293594.18368593865</v>
          </cell>
          <cell r="R878">
            <v>294234.73743014288</v>
          </cell>
          <cell r="S878">
            <v>296116.11028904165</v>
          </cell>
          <cell r="T878">
            <v>305979.53177510144</v>
          </cell>
          <cell r="U878">
            <v>323585.50859670975</v>
          </cell>
          <cell r="V878">
            <v>331215.61919408565</v>
          </cell>
          <cell r="W878">
            <v>341014.91531540483</v>
          </cell>
          <cell r="X878">
            <v>312998.4135209705</v>
          </cell>
          <cell r="Y878">
            <v>299757.62100586202</v>
          </cell>
          <cell r="Z878">
            <v>307872.35574053647</v>
          </cell>
          <cell r="AA878">
            <v>316270.46265886462</v>
          </cell>
          <cell r="AB878">
            <v>324303.41674848227</v>
          </cell>
          <cell r="AC878">
            <v>322972.549553246</v>
          </cell>
          <cell r="AD878">
            <v>325680.6765812714</v>
          </cell>
          <cell r="AE878">
            <v>327810.05326424522</v>
          </cell>
          <cell r="AF878">
            <v>328407.57487182412</v>
          </cell>
          <cell r="AG878">
            <v>327269.18877639971</v>
          </cell>
          <cell r="AH878">
            <v>327291.873373435</v>
          </cell>
          <cell r="AI878">
            <v>327694.67257147603</v>
          </cell>
          <cell r="AJ878">
            <v>287344.89518560655</v>
          </cell>
          <cell r="AK878">
            <v>242425.50491399044</v>
          </cell>
          <cell r="AL878">
            <v>234700.33095897813</v>
          </cell>
          <cell r="AM878">
            <v>234594.17348778583</v>
          </cell>
          <cell r="AN878">
            <v>234360.77684928523</v>
          </cell>
          <cell r="AO878">
            <v>236624.46894026533</v>
          </cell>
          <cell r="AP878">
            <v>187318.81450536297</v>
          </cell>
          <cell r="AQ878">
            <v>116320.05260463628</v>
          </cell>
          <cell r="AR878">
            <v>116320.05260463628</v>
          </cell>
          <cell r="AS878">
            <v>116320.05260463628</v>
          </cell>
          <cell r="AT878">
            <v>116320.05260463628</v>
          </cell>
        </row>
        <row r="879">
          <cell r="E879" t="str">
            <v>Dividends Distribution</v>
          </cell>
          <cell r="F879" t="str">
            <v>[R$ '000]</v>
          </cell>
          <cell r="M879">
            <v>-268848.69116084906</v>
          </cell>
          <cell r="N879">
            <v>-130015.03577543396</v>
          </cell>
          <cell r="O879">
            <v>-131901.4036113125</v>
          </cell>
          <cell r="P879">
            <v>-341646.37717530271</v>
          </cell>
          <cell r="Q879">
            <v>-335923.78394047008</v>
          </cell>
          <cell r="R879">
            <v>-338187.98790729849</v>
          </cell>
          <cell r="S879">
            <v>-338774.55648039037</v>
          </cell>
          <cell r="T879">
            <v>-339393.00214855594</v>
          </cell>
          <cell r="U879">
            <v>-340031.93955297291</v>
          </cell>
          <cell r="V879">
            <v>-340691.36869364115</v>
          </cell>
          <cell r="W879">
            <v>-341371.28957056027</v>
          </cell>
          <cell r="X879">
            <v>-286373.61497359176</v>
          </cell>
          <cell r="Y879">
            <v>-296055.53018551471</v>
          </cell>
          <cell r="Z879">
            <v>-296176.64068702259</v>
          </cell>
          <cell r="AA879">
            <v>-296317.95062079735</v>
          </cell>
          <cell r="AB879">
            <v>-296809.75229082326</v>
          </cell>
          <cell r="AC879">
            <v>-301261.55396084918</v>
          </cell>
          <cell r="AD879">
            <v>-305467.4547958622</v>
          </cell>
          <cell r="AE879">
            <v>-305467.4547958622</v>
          </cell>
          <cell r="AF879">
            <v>-305467.4547958622</v>
          </cell>
          <cell r="AG879">
            <v>-305467.45479586202</v>
          </cell>
          <cell r="AH879">
            <v>-305467.45479586208</v>
          </cell>
          <cell r="AI879">
            <v>-305467.4547958622</v>
          </cell>
          <cell r="AJ879">
            <v>-266672.2505291187</v>
          </cell>
          <cell r="AK879">
            <v>-204066.30239875667</v>
          </cell>
          <cell r="AL879">
            <v>-204483.39194977909</v>
          </cell>
          <cell r="AM879">
            <v>-204483.39194977909</v>
          </cell>
          <cell r="AN879">
            <v>-204483.39194977909</v>
          </cell>
          <cell r="AO879">
            <v>-204483.39194977895</v>
          </cell>
          <cell r="AP879">
            <v>-133387.43697225003</v>
          </cell>
          <cell r="AQ879">
            <v>0</v>
          </cell>
          <cell r="AR879">
            <v>0</v>
          </cell>
          <cell r="AS879">
            <v>0</v>
          </cell>
          <cell r="AT879">
            <v>0</v>
          </cell>
        </row>
        <row r="880">
          <cell r="E880" t="str">
            <v>Additional Dividends Distribution</v>
          </cell>
          <cell r="F880" t="str">
            <v>[R$ '000]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row>
        <row r="881">
          <cell r="E881" t="str">
            <v>Recap</v>
          </cell>
          <cell r="F881" t="str">
            <v>[R$ '000]</v>
          </cell>
          <cell r="M881">
            <v>92289.87215257519</v>
          </cell>
          <cell r="N881">
            <v>101960.24584980193</v>
          </cell>
          <cell r="O881">
            <v>133578.52131951184</v>
          </cell>
          <cell r="P881">
            <v>155221.79989880652</v>
          </cell>
          <cell r="Q881">
            <v>98269.328639680447</v>
          </cell>
          <cell r="R881">
            <v>99893.422333742143</v>
          </cell>
          <cell r="S881">
            <v>98598.618047935248</v>
          </cell>
          <cell r="T881">
            <v>89353.642230041034</v>
          </cell>
          <cell r="U881">
            <v>72386.602812849684</v>
          </cell>
          <cell r="V881">
            <v>65415.921356142033</v>
          </cell>
          <cell r="W881">
            <v>56296.546111741976</v>
          </cell>
          <cell r="X881">
            <v>19460.108552734338</v>
          </cell>
          <cell r="Y881">
            <v>42382.357651094972</v>
          </cell>
          <cell r="Z881">
            <v>34388.733417928401</v>
          </cell>
          <cell r="AA881">
            <v>26131.936433375005</v>
          </cell>
          <cell r="AB881">
            <v>18590.784013783275</v>
          </cell>
          <cell r="AC881">
            <v>24373.452879045457</v>
          </cell>
          <cell r="AD881">
            <v>25871.226686033078</v>
          </cell>
          <cell r="AE881">
            <v>23741.850003059262</v>
          </cell>
          <cell r="AF881">
            <v>23144.328395480356</v>
          </cell>
          <cell r="AG881">
            <v>24282.714490904596</v>
          </cell>
          <cell r="AH881">
            <v>24260.029893869374</v>
          </cell>
          <cell r="AI881">
            <v>23857.230695828453</v>
          </cell>
          <cell r="AJ881">
            <v>34078.98225225247</v>
          </cell>
          <cell r="AK881">
            <v>16542.396272603786</v>
          </cell>
          <cell r="AL881">
            <v>24684.659778638546</v>
          </cell>
          <cell r="AM881">
            <v>24790.817249830849</v>
          </cell>
          <cell r="AN881">
            <v>25024.21388833144</v>
          </cell>
          <cell r="AO881">
            <v>22760.52179735119</v>
          </cell>
          <cell r="AP881">
            <v>0</v>
          </cell>
          <cell r="AQ881">
            <v>0</v>
          </cell>
          <cell r="AR881">
            <v>0</v>
          </cell>
          <cell r="AS881">
            <v>0</v>
          </cell>
          <cell r="AT881">
            <v>0</v>
          </cell>
        </row>
        <row r="882">
          <cell r="E882" t="str">
            <v xml:space="preserve">Cash - EoP </v>
          </cell>
          <cell r="F882" t="str">
            <v>[R$ '000]</v>
          </cell>
          <cell r="M882">
            <v>15313.219869392109</v>
          </cell>
          <cell r="N882">
            <v>17245.657132868655</v>
          </cell>
          <cell r="O882">
            <v>24847.40669073665</v>
          </cell>
          <cell r="P882">
            <v>55843.191861844651</v>
          </cell>
          <cell r="Q882">
            <v>55939.728385149036</v>
          </cell>
          <cell r="R882">
            <v>55940.17185658653</v>
          </cell>
          <cell r="S882">
            <v>55940.17185658653</v>
          </cell>
          <cell r="T882">
            <v>55940.17185658653</v>
          </cell>
          <cell r="U882">
            <v>55940.17185658653</v>
          </cell>
          <cell r="V882">
            <v>55940.17185658653</v>
          </cell>
          <cell r="W882">
            <v>55940.17185658653</v>
          </cell>
          <cell r="X882">
            <v>46084.907100113109</v>
          </cell>
          <cell r="Y882">
            <v>46084.448471442272</v>
          </cell>
          <cell r="Z882">
            <v>46084.448471442272</v>
          </cell>
          <cell r="AA882">
            <v>46084.448471442272</v>
          </cell>
          <cell r="AB882">
            <v>46084.448471442272</v>
          </cell>
          <cell r="AC882">
            <v>46084.448471442272</v>
          </cell>
          <cell r="AD882">
            <v>46084.448471442272</v>
          </cell>
          <cell r="AE882">
            <v>46084.448471442272</v>
          </cell>
          <cell r="AF882">
            <v>46084.448471442272</v>
          </cell>
          <cell r="AG882">
            <v>46084.448471442272</v>
          </cell>
          <cell r="AH882">
            <v>46084.448471442272</v>
          </cell>
          <cell r="AI882">
            <v>46084.448471442272</v>
          </cell>
          <cell r="AJ882">
            <v>54751.62690874032</v>
          </cell>
          <cell r="AK882">
            <v>54901.598787837545</v>
          </cell>
          <cell r="AL882">
            <v>54901.598787837574</v>
          </cell>
          <cell r="AM882">
            <v>54901.598787837574</v>
          </cell>
          <cell r="AN882">
            <v>54901.598787837574</v>
          </cell>
          <cell r="AO882">
            <v>54901.598787837574</v>
          </cell>
          <cell r="AP882">
            <v>53931.377533112944</v>
          </cell>
          <cell r="AQ882">
            <v>116320.05260463628</v>
          </cell>
          <cell r="AR882">
            <v>116320.05260463628</v>
          </cell>
          <cell r="AS882">
            <v>116320.05260463628</v>
          </cell>
          <cell r="AT882">
            <v>116320.05260463628</v>
          </cell>
        </row>
      </sheetData>
      <sheetData sheetId="2">
        <row r="2">
          <cell r="E2" t="str">
            <v>Project Pile | Pellet model</v>
          </cell>
        </row>
        <row r="4">
          <cell r="E4" t="str">
            <v>Project Pile | Pellet model</v>
          </cell>
          <cell r="F4" t="str">
            <v>[unit.]</v>
          </cell>
          <cell r="I4">
            <v>2013</v>
          </cell>
          <cell r="J4">
            <v>2014</v>
          </cell>
          <cell r="K4">
            <v>2015</v>
          </cell>
          <cell r="L4">
            <v>2016</v>
          </cell>
          <cell r="M4">
            <v>2017</v>
          </cell>
          <cell r="N4">
            <v>2018</v>
          </cell>
          <cell r="O4">
            <v>2019</v>
          </cell>
          <cell r="P4">
            <v>2020</v>
          </cell>
          <cell r="Q4">
            <v>2021</v>
          </cell>
          <cell r="R4">
            <v>2022</v>
          </cell>
          <cell r="S4">
            <v>2023</v>
          </cell>
          <cell r="T4">
            <v>2024</v>
          </cell>
          <cell r="U4">
            <v>2025</v>
          </cell>
          <cell r="V4">
            <v>2026</v>
          </cell>
          <cell r="W4">
            <v>2027</v>
          </cell>
          <cell r="X4">
            <v>2028</v>
          </cell>
          <cell r="Y4">
            <v>2029</v>
          </cell>
          <cell r="Z4">
            <v>2030</v>
          </cell>
        </row>
        <row r="6">
          <cell r="B6">
            <v>1</v>
          </cell>
          <cell r="E6" t="str">
            <v xml:space="preserve">Macro Assumptions </v>
          </cell>
          <cell r="J6">
            <v>2014</v>
          </cell>
          <cell r="K6">
            <v>2015</v>
          </cell>
          <cell r="L6">
            <v>2016</v>
          </cell>
          <cell r="M6">
            <v>2017</v>
          </cell>
          <cell r="N6">
            <v>2018</v>
          </cell>
          <cell r="O6">
            <v>2019</v>
          </cell>
          <cell r="P6">
            <v>2020</v>
          </cell>
          <cell r="Q6">
            <v>2021</v>
          </cell>
          <cell r="R6">
            <v>2022</v>
          </cell>
          <cell r="S6">
            <v>2023</v>
          </cell>
          <cell r="T6">
            <v>2024</v>
          </cell>
          <cell r="U6">
            <v>2025</v>
          </cell>
          <cell r="V6">
            <v>2026</v>
          </cell>
          <cell r="W6">
            <v>2027</v>
          </cell>
          <cell r="X6">
            <v>2028</v>
          </cell>
          <cell r="Y6">
            <v>2029</v>
          </cell>
          <cell r="Z6">
            <v>2030</v>
          </cell>
        </row>
        <row r="8">
          <cell r="E8" t="str">
            <v>IPCA</v>
          </cell>
          <cell r="F8" t="str">
            <v>[%]</v>
          </cell>
          <cell r="J8">
            <v>6.4100000000000004E-2</v>
          </cell>
          <cell r="K8">
            <v>0.1067</v>
          </cell>
          <cell r="L8">
            <v>6.2881000000000006E-2</v>
          </cell>
          <cell r="M8">
            <v>3.8800000000000001E-2</v>
          </cell>
          <cell r="N8">
            <v>4.3400000000000001E-2</v>
          </cell>
          <cell r="O8">
            <v>4.2900000000000001E-2</v>
          </cell>
          <cell r="P8">
            <v>4.2500000000000003E-2</v>
          </cell>
          <cell r="Q8">
            <v>4.1900000000000007E-2</v>
          </cell>
          <cell r="R8">
            <v>4.1900000000000007E-2</v>
          </cell>
          <cell r="S8">
            <v>4.1900000000000007E-2</v>
          </cell>
          <cell r="T8">
            <v>4.1900000000000007E-2</v>
          </cell>
          <cell r="U8">
            <v>4.1900000000000007E-2</v>
          </cell>
          <cell r="V8">
            <v>4.1900000000000007E-2</v>
          </cell>
          <cell r="W8">
            <v>4.1900000000000007E-2</v>
          </cell>
          <cell r="X8">
            <v>4.1900000000000007E-2</v>
          </cell>
          <cell r="Y8">
            <v>4.1900000000000007E-2</v>
          </cell>
          <cell r="Z8">
            <v>4.1900000000000007E-2</v>
          </cell>
        </row>
        <row r="9">
          <cell r="E9" t="str">
            <v>IGP-M</v>
          </cell>
          <cell r="F9" t="str">
            <v>[%]</v>
          </cell>
          <cell r="J9">
            <v>3.6700000000000003E-2</v>
          </cell>
          <cell r="K9">
            <v>0.10539999999999999</v>
          </cell>
          <cell r="L9">
            <v>5.2299999999999999E-2</v>
          </cell>
          <cell r="M9">
            <v>1.66E-2</v>
          </cell>
          <cell r="N9">
            <v>4.5700000000000005E-2</v>
          </cell>
          <cell r="O9">
            <v>4.53E-2</v>
          </cell>
          <cell r="P9">
            <v>4.4900000000000002E-2</v>
          </cell>
          <cell r="Q9">
            <v>4.4000000000000004E-2</v>
          </cell>
          <cell r="R9">
            <v>4.4000000000000004E-2</v>
          </cell>
          <cell r="S9">
            <v>4.4000000000000004E-2</v>
          </cell>
          <cell r="T9">
            <v>4.4000000000000004E-2</v>
          </cell>
          <cell r="U9">
            <v>4.4000000000000004E-2</v>
          </cell>
          <cell r="V9">
            <v>4.4000000000000004E-2</v>
          </cell>
          <cell r="W9">
            <v>4.4000000000000004E-2</v>
          </cell>
          <cell r="X9">
            <v>4.4000000000000004E-2</v>
          </cell>
          <cell r="Y9">
            <v>4.4000000000000004E-2</v>
          </cell>
          <cell r="Z9">
            <v>4.4000000000000004E-2</v>
          </cell>
        </row>
        <row r="10">
          <cell r="E10" t="str">
            <v>Selic (Average)</v>
          </cell>
          <cell r="F10" t="str">
            <v>[%]</v>
          </cell>
          <cell r="J10">
            <v>0.11</v>
          </cell>
          <cell r="K10">
            <v>0.13370000000000001</v>
          </cell>
          <cell r="L10">
            <v>0.1168</v>
          </cell>
          <cell r="M10">
            <v>0.10279999999999999</v>
          </cell>
          <cell r="N10">
            <v>8.5600000000000009E-2</v>
          </cell>
          <cell r="O10">
            <v>8.6400000000000005E-2</v>
          </cell>
          <cell r="P10">
            <v>8.5500000000000007E-2</v>
          </cell>
          <cell r="Q10">
            <v>8.4900000000000003E-2</v>
          </cell>
          <cell r="R10">
            <v>8.4900000000000003E-2</v>
          </cell>
          <cell r="S10">
            <v>8.4900000000000003E-2</v>
          </cell>
          <cell r="T10">
            <v>8.4900000000000003E-2</v>
          </cell>
          <cell r="U10">
            <v>8.4900000000000003E-2</v>
          </cell>
          <cell r="V10">
            <v>8.4900000000000003E-2</v>
          </cell>
          <cell r="W10">
            <v>8.4900000000000003E-2</v>
          </cell>
          <cell r="X10">
            <v>8.4900000000000003E-2</v>
          </cell>
          <cell r="Y10">
            <v>8.4900000000000003E-2</v>
          </cell>
          <cell r="Z10">
            <v>8.4900000000000003E-2</v>
          </cell>
        </row>
        <row r="11">
          <cell r="E11" t="str">
            <v>TJLP</v>
          </cell>
          <cell r="F11" t="str">
            <v>[%]</v>
          </cell>
          <cell r="J11">
            <v>0.05</v>
          </cell>
          <cell r="K11">
            <v>6.25E-2</v>
          </cell>
          <cell r="L11">
            <v>7.4999999999999997E-2</v>
          </cell>
          <cell r="M11">
            <v>7.0000000000000007E-2</v>
          </cell>
          <cell r="N11">
            <v>7.0000000000000007E-2</v>
          </cell>
          <cell r="O11">
            <v>6.25E-2</v>
          </cell>
          <cell r="P11">
            <v>6.5000000000000002E-2</v>
          </cell>
          <cell r="Q11">
            <v>6.5000000000000002E-2</v>
          </cell>
          <cell r="R11">
            <v>6.5000000000000002E-2</v>
          </cell>
          <cell r="S11">
            <v>6.5000000000000002E-2</v>
          </cell>
          <cell r="T11">
            <v>6.5000000000000002E-2</v>
          </cell>
          <cell r="U11">
            <v>6.5000000000000002E-2</v>
          </cell>
          <cell r="V11">
            <v>6.5000000000000002E-2</v>
          </cell>
          <cell r="W11">
            <v>6.5000000000000002E-2</v>
          </cell>
          <cell r="X11">
            <v>6.5000000000000002E-2</v>
          </cell>
          <cell r="Y11">
            <v>6.5000000000000002E-2</v>
          </cell>
          <cell r="Z11">
            <v>6.5000000000000002E-2</v>
          </cell>
        </row>
        <row r="12">
          <cell r="E12" t="str">
            <v>FX (Average) - Nominal</v>
          </cell>
          <cell r="F12" t="str">
            <v>[R$/US$]</v>
          </cell>
          <cell r="J12">
            <v>2.3555334645669288</v>
          </cell>
          <cell r="K12">
            <v>3.39</v>
          </cell>
          <cell r="L12">
            <v>3.4387014233553579</v>
          </cell>
          <cell r="M12">
            <v>3.22</v>
          </cell>
          <cell r="N12">
            <v>3.35</v>
          </cell>
          <cell r="O12">
            <v>3.42</v>
          </cell>
          <cell r="P12">
            <v>3.47</v>
          </cell>
          <cell r="Q12">
            <v>3.55</v>
          </cell>
          <cell r="R12">
            <v>3.619124266144814</v>
          </cell>
          <cell r="S12">
            <v>3.6895944940276726</v>
          </cell>
          <cell r="T12">
            <v>3.761436891709816</v>
          </cell>
          <cell r="U12">
            <v>3.8346781775660053</v>
          </cell>
          <cell r="V12">
            <v>3.9093455902211556</v>
          </cell>
          <cell r="W12">
            <v>3.985466898680452</v>
          </cell>
          <cell r="X12">
            <v>4.0630704126567148</v>
          </cell>
          <cell r="Y12">
            <v>4.1421849930988559</v>
          </cell>
          <cell r="Z12">
            <v>4.2228400629253402</v>
          </cell>
        </row>
        <row r="13">
          <cell r="E13" t="str">
            <v>FX (EoP) - Nominal</v>
          </cell>
          <cell r="F13" t="str">
            <v>[R$/US$]</v>
          </cell>
          <cell r="J13">
            <v>2.6562000000000001</v>
          </cell>
          <cell r="K13">
            <v>3.92</v>
          </cell>
          <cell r="L13">
            <v>3.3285</v>
          </cell>
          <cell r="M13">
            <v>3.28</v>
          </cell>
          <cell r="N13">
            <v>3.39</v>
          </cell>
          <cell r="O13">
            <v>3.45</v>
          </cell>
          <cell r="P13">
            <v>3.51</v>
          </cell>
          <cell r="Q13">
            <v>3.57</v>
          </cell>
          <cell r="R13">
            <v>3.6395136986301369</v>
          </cell>
          <cell r="S13">
            <v>3.7103809418813496</v>
          </cell>
          <cell r="T13">
            <v>3.7826280854659275</v>
          </cell>
          <cell r="U13">
            <v>3.8562819982846865</v>
          </cell>
          <cell r="V13">
            <v>3.9313700724195839</v>
          </cell>
          <cell r="W13">
            <v>4.0079202333209043</v>
          </cell>
          <cell r="X13">
            <v>4.085960950192808</v>
          </cell>
          <cell r="Y13">
            <v>4.1655212465811022</v>
          </cell>
          <cell r="Z13">
            <v>4.2466307111671728</v>
          </cell>
        </row>
        <row r="14">
          <cell r="E14" t="str">
            <v>FX (Average) - Real from 2017 onwads</v>
          </cell>
          <cell r="F14" t="str">
            <v>[R$/US$]</v>
          </cell>
          <cell r="J14">
            <v>2.3555334645669288</v>
          </cell>
          <cell r="K14">
            <v>3.39</v>
          </cell>
          <cell r="L14">
            <v>3.4387014233553579</v>
          </cell>
          <cell r="M14">
            <v>3.17722371967655</v>
          </cell>
          <cell r="N14">
            <v>3.2408694189318714</v>
          </cell>
          <cell r="O14">
            <v>3.2422840523132064</v>
          </cell>
          <cell r="P14">
            <v>3.224996599514891</v>
          </cell>
          <cell r="Q14">
            <v>3.2363314756376349</v>
          </cell>
          <cell r="R14">
            <v>3.2363314756376349</v>
          </cell>
          <cell r="S14">
            <v>3.2363314756376345</v>
          </cell>
          <cell r="T14">
            <v>3.2363314756376345</v>
          </cell>
          <cell r="U14">
            <v>3.2363314756376349</v>
          </cell>
          <cell r="V14">
            <v>3.2363314756376349</v>
          </cell>
          <cell r="W14">
            <v>3.2363314756376349</v>
          </cell>
          <cell r="X14">
            <v>3.2363314756376345</v>
          </cell>
          <cell r="Y14">
            <v>3.236331475637634</v>
          </cell>
          <cell r="Z14">
            <v>3.236331475637634</v>
          </cell>
        </row>
        <row r="15">
          <cell r="E15" t="str">
            <v>FX (EoP) - Real from 2017 onwads</v>
          </cell>
          <cell r="F15" t="str">
            <v>[R$/US$]</v>
          </cell>
          <cell r="J15">
            <v>2.6562000000000001</v>
          </cell>
          <cell r="K15">
            <v>3.92</v>
          </cell>
          <cell r="L15">
            <v>3.3285</v>
          </cell>
          <cell r="M15">
            <v>3.2364266461301501</v>
          </cell>
          <cell r="N15">
            <v>3.2795663672176252</v>
          </cell>
          <cell r="O15">
            <v>3.2707251404913924</v>
          </cell>
          <cell r="P15">
            <v>3.2621723528234199</v>
          </cell>
          <cell r="Q15">
            <v>3.2545643290215089</v>
          </cell>
          <cell r="R15">
            <v>3.2545643290215089</v>
          </cell>
          <cell r="S15">
            <v>3.2545643290215085</v>
          </cell>
          <cell r="T15">
            <v>3.2545643290215085</v>
          </cell>
          <cell r="U15">
            <v>3.2545643290215085</v>
          </cell>
          <cell r="V15">
            <v>3.2545643290215085</v>
          </cell>
          <cell r="W15">
            <v>3.2545643290215085</v>
          </cell>
          <cell r="X15">
            <v>3.2545643290215081</v>
          </cell>
          <cell r="Y15">
            <v>3.2545643290215076</v>
          </cell>
          <cell r="Z15">
            <v>3.2545643290215076</v>
          </cell>
        </row>
        <row r="16">
          <cell r="E16" t="str">
            <v>Inflation USA (CPI)</v>
          </cell>
          <cell r="F16" t="str">
            <v>[%]</v>
          </cell>
          <cell r="J16">
            <v>1.61E-2</v>
          </cell>
          <cell r="K16">
            <v>1.1800000000000001E-3</v>
          </cell>
          <cell r="L16">
            <v>1.188E-2</v>
          </cell>
          <cell r="M16">
            <v>2.5000000000000001E-2</v>
          </cell>
          <cell r="N16">
            <v>2.3E-2</v>
          </cell>
          <cell r="O16">
            <v>2.1999999999999999E-2</v>
          </cell>
          <cell r="P16">
            <v>2.1999999999999999E-2</v>
          </cell>
          <cell r="Q16">
            <v>2.1999999999999999E-2</v>
          </cell>
          <cell r="R16">
            <v>2.1999999999999999E-2</v>
          </cell>
          <cell r="S16">
            <v>2.1999999999999999E-2</v>
          </cell>
          <cell r="T16">
            <v>2.1999999999999999E-2</v>
          </cell>
          <cell r="U16">
            <v>2.1999999999999999E-2</v>
          </cell>
          <cell r="V16">
            <v>2.1999999999999999E-2</v>
          </cell>
          <cell r="W16">
            <v>2.1999999999999999E-2</v>
          </cell>
          <cell r="X16">
            <v>2.1999999999999999E-2</v>
          </cell>
          <cell r="Y16">
            <v>2.1999999999999999E-2</v>
          </cell>
          <cell r="Z16">
            <v>2.1999999999999999E-2</v>
          </cell>
        </row>
        <row r="17">
          <cell r="E17" t="str">
            <v>CDI</v>
          </cell>
          <cell r="F17" t="str">
            <v>[%]</v>
          </cell>
          <cell r="J17">
            <v>0.10814008223189386</v>
          </cell>
          <cell r="K17">
            <v>0.13240346183373219</v>
          </cell>
          <cell r="L17">
            <v>0.13694602190314664</v>
          </cell>
          <cell r="M17">
            <v>0.10279999999999999</v>
          </cell>
          <cell r="N17">
            <v>8.5600000000000009E-2</v>
          </cell>
          <cell r="O17">
            <v>8.6400000000000005E-2</v>
          </cell>
          <cell r="P17">
            <v>8.5500000000000007E-2</v>
          </cell>
          <cell r="Q17">
            <v>8.4900000000000003E-2</v>
          </cell>
          <cell r="R17">
            <v>8.4900000000000003E-2</v>
          </cell>
          <cell r="S17">
            <v>8.4900000000000003E-2</v>
          </cell>
          <cell r="T17">
            <v>8.4900000000000003E-2</v>
          </cell>
          <cell r="U17">
            <v>8.4900000000000003E-2</v>
          </cell>
          <cell r="V17">
            <v>8.4900000000000003E-2</v>
          </cell>
          <cell r="W17">
            <v>8.4900000000000003E-2</v>
          </cell>
          <cell r="X17">
            <v>8.4900000000000003E-2</v>
          </cell>
          <cell r="Y17">
            <v>8.4900000000000003E-2</v>
          </cell>
          <cell r="Z17">
            <v>8.4900000000000003E-2</v>
          </cell>
        </row>
        <row r="18">
          <cell r="E18" t="str">
            <v>Global GDP Growth (%)</v>
          </cell>
          <cell r="F18" t="str">
            <v>[%]</v>
          </cell>
          <cell r="J18">
            <v>2.3699999999999999E-2</v>
          </cell>
          <cell r="K18">
            <v>2.596E-2</v>
          </cell>
          <cell r="L18">
            <v>1.5779999999999999E-2</v>
          </cell>
          <cell r="M18">
            <v>3.3000000000000002E-2</v>
          </cell>
          <cell r="N18">
            <v>3.4000000000000002E-2</v>
          </cell>
          <cell r="O18">
            <v>3.3000000000000002E-2</v>
          </cell>
          <cell r="P18">
            <v>3.3000000000000002E-2</v>
          </cell>
          <cell r="Q18">
            <v>3.3000000000000002E-2</v>
          </cell>
          <cell r="R18">
            <v>3.3000000000000002E-2</v>
          </cell>
          <cell r="S18">
            <v>3.3000000000000002E-2</v>
          </cell>
          <cell r="T18">
            <v>3.3000000000000002E-2</v>
          </cell>
          <cell r="U18">
            <v>3.3000000000000002E-2</v>
          </cell>
          <cell r="V18">
            <v>3.3000000000000002E-2</v>
          </cell>
          <cell r="W18">
            <v>3.3000000000000002E-2</v>
          </cell>
          <cell r="X18">
            <v>3.3000000000000002E-2</v>
          </cell>
          <cell r="Y18">
            <v>3.3000000000000002E-2</v>
          </cell>
          <cell r="Z18">
            <v>3.3000000000000002E-2</v>
          </cell>
        </row>
        <row r="19">
          <cell r="E19" t="str">
            <v>Brazilian GDP Growth (%)</v>
          </cell>
          <cell r="F19" t="str">
            <v>[%]</v>
          </cell>
          <cell r="J19">
            <v>1E-3</v>
          </cell>
          <cell r="K19">
            <v>-3.8199999999999998E-2</v>
          </cell>
          <cell r="L19">
            <v>-3.5000000000000003E-2</v>
          </cell>
          <cell r="M19">
            <v>5.1000000000000004E-3</v>
          </cell>
          <cell r="N19">
            <v>2.3599999999999999E-2</v>
          </cell>
          <cell r="O19">
            <v>2.6000000000000002E-2</v>
          </cell>
          <cell r="P19">
            <v>2.5000000000000001E-2</v>
          </cell>
          <cell r="Q19">
            <v>2.5499999999999998E-2</v>
          </cell>
          <cell r="R19">
            <v>2.5499999999999998E-2</v>
          </cell>
          <cell r="S19">
            <v>2.5499999999999998E-2</v>
          </cell>
          <cell r="T19">
            <v>2.5499999999999998E-2</v>
          </cell>
          <cell r="U19">
            <v>2.5499999999999998E-2</v>
          </cell>
          <cell r="V19">
            <v>2.5499999999999998E-2</v>
          </cell>
          <cell r="W19">
            <v>2.5499999999999998E-2</v>
          </cell>
          <cell r="X19">
            <v>2.5499999999999998E-2</v>
          </cell>
          <cell r="Y19">
            <v>2.5499999999999998E-2</v>
          </cell>
          <cell r="Z19">
            <v>2.5499999999999998E-2</v>
          </cell>
        </row>
        <row r="21">
          <cell r="E21" t="str">
            <v>Platts Iodex 62%</v>
          </cell>
          <cell r="F21" t="str">
            <v>[US$/t]</v>
          </cell>
          <cell r="M21">
            <v>69</v>
          </cell>
          <cell r="N21">
            <v>60</v>
          </cell>
          <cell r="O21">
            <v>60</v>
          </cell>
          <cell r="P21">
            <v>60</v>
          </cell>
          <cell r="Q21">
            <v>60</v>
          </cell>
          <cell r="R21">
            <v>60</v>
          </cell>
          <cell r="S21">
            <v>60</v>
          </cell>
          <cell r="T21">
            <v>60</v>
          </cell>
          <cell r="U21">
            <v>60</v>
          </cell>
          <cell r="V21">
            <v>60</v>
          </cell>
          <cell r="W21">
            <v>60</v>
          </cell>
          <cell r="X21">
            <v>60</v>
          </cell>
          <cell r="Y21">
            <v>60</v>
          </cell>
          <cell r="Z21">
            <v>60</v>
          </cell>
        </row>
        <row r="22">
          <cell r="E22" t="str">
            <v>Growth</v>
          </cell>
          <cell r="F22" t="str">
            <v>[%]</v>
          </cell>
          <cell r="N22">
            <v>-0.13043478260869568</v>
          </cell>
          <cell r="O22">
            <v>0</v>
          </cell>
          <cell r="P22">
            <v>0</v>
          </cell>
          <cell r="Q22">
            <v>0</v>
          </cell>
          <cell r="R22">
            <v>0</v>
          </cell>
          <cell r="S22">
            <v>0</v>
          </cell>
          <cell r="T22">
            <v>0</v>
          </cell>
          <cell r="U22">
            <v>0</v>
          </cell>
          <cell r="V22">
            <v>0</v>
          </cell>
          <cell r="W22">
            <v>0</v>
          </cell>
          <cell r="X22">
            <v>0</v>
          </cell>
          <cell r="Y22">
            <v>0</v>
          </cell>
          <cell r="Z22">
            <v>0</v>
          </cell>
        </row>
        <row r="24">
          <cell r="B24">
            <v>2</v>
          </cell>
          <cell r="E24" t="str">
            <v>Income Statement</v>
          </cell>
          <cell r="J24">
            <v>2014</v>
          </cell>
          <cell r="K24">
            <v>2015</v>
          </cell>
          <cell r="L24">
            <v>2016</v>
          </cell>
          <cell r="M24">
            <v>2017</v>
          </cell>
          <cell r="N24">
            <v>2018</v>
          </cell>
          <cell r="O24">
            <v>2019</v>
          </cell>
          <cell r="P24">
            <v>2020</v>
          </cell>
          <cell r="Q24">
            <v>2021</v>
          </cell>
          <cell r="R24">
            <v>2022</v>
          </cell>
          <cell r="S24">
            <v>2023</v>
          </cell>
          <cell r="T24">
            <v>2024</v>
          </cell>
          <cell r="U24">
            <v>2025</v>
          </cell>
          <cell r="V24">
            <v>2026</v>
          </cell>
          <cell r="W24">
            <v>2027</v>
          </cell>
          <cell r="X24">
            <v>2028</v>
          </cell>
          <cell r="Y24">
            <v>2029</v>
          </cell>
          <cell r="Z24">
            <v>2030</v>
          </cell>
        </row>
        <row r="26">
          <cell r="E26" t="str">
            <v>Gross Revenues</v>
          </cell>
          <cell r="F26" t="str">
            <v>[R$ '000]</v>
          </cell>
          <cell r="J26">
            <v>283176.48377193388</v>
          </cell>
          <cell r="K26">
            <v>200147.82396793962</v>
          </cell>
          <cell r="L26">
            <v>197785.92729400255</v>
          </cell>
          <cell r="M26">
            <v>348652.42757823074</v>
          </cell>
          <cell r="N26">
            <v>340300.32615027291</v>
          </cell>
          <cell r="O26">
            <v>362687.48955508007</v>
          </cell>
          <cell r="P26">
            <v>360753.68525075034</v>
          </cell>
          <cell r="Q26">
            <v>362021.62405532325</v>
          </cell>
          <cell r="R26">
            <v>362021.62405532325</v>
          </cell>
          <cell r="S26">
            <v>362021.62405532325</v>
          </cell>
          <cell r="T26">
            <v>362021.62405532325</v>
          </cell>
          <cell r="U26">
            <v>362021.62405532325</v>
          </cell>
          <cell r="V26">
            <v>362021.62405532325</v>
          </cell>
          <cell r="W26">
            <v>362021.62405532325</v>
          </cell>
          <cell r="X26">
            <v>362021.62405532325</v>
          </cell>
          <cell r="Y26">
            <v>362021.62405532313</v>
          </cell>
          <cell r="Z26">
            <v>362021.62405532313</v>
          </cell>
        </row>
        <row r="27">
          <cell r="E27" t="str">
            <v>Growth</v>
          </cell>
          <cell r="F27" t="str">
            <v>[%]</v>
          </cell>
          <cell r="J27" t="str">
            <v>n.a.</v>
          </cell>
          <cell r="K27">
            <v>-0.29320464290694526</v>
          </cell>
          <cell r="L27">
            <v>-1.1800761192964027E-2</v>
          </cell>
          <cell r="M27">
            <v>0.76277671697021132</v>
          </cell>
          <cell r="N27">
            <v>-2.3955380107266833E-2</v>
          </cell>
          <cell r="O27">
            <v>6.5786488241334373E-2</v>
          </cell>
          <cell r="P27">
            <v>-5.3318748509963987E-3</v>
          </cell>
          <cell r="Q27">
            <v>3.5146939765606788E-3</v>
          </cell>
          <cell r="R27">
            <v>0</v>
          </cell>
          <cell r="S27">
            <v>0</v>
          </cell>
          <cell r="T27">
            <v>0</v>
          </cell>
          <cell r="U27">
            <v>0</v>
          </cell>
          <cell r="V27">
            <v>0</v>
          </cell>
          <cell r="W27">
            <v>0</v>
          </cell>
          <cell r="X27">
            <v>0</v>
          </cell>
          <cell r="Y27">
            <v>-3.3306690738754696E-16</v>
          </cell>
          <cell r="Z27">
            <v>0</v>
          </cell>
        </row>
        <row r="29">
          <cell r="E29" t="str">
            <v>(-) Taxes on Revenues</v>
          </cell>
          <cell r="F29" t="str">
            <v>[R$ '000]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E30" t="str">
            <v>Net Revenues</v>
          </cell>
          <cell r="F30" t="str">
            <v>[R$ '000]</v>
          </cell>
          <cell r="J30">
            <v>283176.48377193388</v>
          </cell>
          <cell r="K30">
            <v>200147.82396793962</v>
          </cell>
          <cell r="L30">
            <v>197785.92729400255</v>
          </cell>
          <cell r="M30">
            <v>348652.42757823074</v>
          </cell>
          <cell r="N30">
            <v>340300.32615027291</v>
          </cell>
          <cell r="O30">
            <v>362687.48955508007</v>
          </cell>
          <cell r="P30">
            <v>360753.68525075034</v>
          </cell>
          <cell r="Q30">
            <v>362021.62405532325</v>
          </cell>
          <cell r="R30">
            <v>362021.62405532325</v>
          </cell>
          <cell r="S30">
            <v>362021.62405532325</v>
          </cell>
          <cell r="T30">
            <v>362021.62405532325</v>
          </cell>
          <cell r="U30">
            <v>362021.62405532325</v>
          </cell>
          <cell r="V30">
            <v>362021.62405532325</v>
          </cell>
          <cell r="W30">
            <v>362021.62405532325</v>
          </cell>
          <cell r="X30">
            <v>362021.62405532325</v>
          </cell>
          <cell r="Y30">
            <v>362021.62405532313</v>
          </cell>
          <cell r="Z30">
            <v>362021.62405532313</v>
          </cell>
        </row>
        <row r="31">
          <cell r="E31" t="str">
            <v>(-) COGS</v>
          </cell>
          <cell r="F31" t="str">
            <v>[R$ '000]</v>
          </cell>
          <cell r="J31">
            <v>-266471.77256578067</v>
          </cell>
          <cell r="K31">
            <v>-186242.99842999998</v>
          </cell>
          <cell r="L31">
            <v>-197363.90479664566</v>
          </cell>
          <cell r="M31">
            <v>-275528.90027444827</v>
          </cell>
          <cell r="N31">
            <v>-283526.2060079996</v>
          </cell>
          <cell r="O31">
            <v>-295230.83330446895</v>
          </cell>
          <cell r="P31">
            <v>-294720.5291787429</v>
          </cell>
          <cell r="Q31">
            <v>-295055.1206375027</v>
          </cell>
          <cell r="R31">
            <v>-295055.1206375027</v>
          </cell>
          <cell r="S31">
            <v>-295055.1206375027</v>
          </cell>
          <cell r="T31">
            <v>-295055.1206375027</v>
          </cell>
          <cell r="U31">
            <v>-295055.1206375027</v>
          </cell>
          <cell r="V31">
            <v>-295055.1206375027</v>
          </cell>
          <cell r="W31">
            <v>-295055.1206375027</v>
          </cell>
          <cell r="X31">
            <v>-295055.1206375027</v>
          </cell>
          <cell r="Y31">
            <v>-295055.1206375027</v>
          </cell>
          <cell r="Z31">
            <v>-295055.1206375027</v>
          </cell>
        </row>
        <row r="32">
          <cell r="E32" t="str">
            <v>Gross Income</v>
          </cell>
          <cell r="F32" t="str">
            <v>[R$ '000]</v>
          </cell>
          <cell r="J32">
            <v>16704.71120615321</v>
          </cell>
          <cell r="K32">
            <v>13904.825537939643</v>
          </cell>
          <cell r="L32">
            <v>422.02249735689838</v>
          </cell>
          <cell r="M32">
            <v>73123.527303782466</v>
          </cell>
          <cell r="N32">
            <v>56774.120142273314</v>
          </cell>
          <cell r="O32">
            <v>67456.656250611122</v>
          </cell>
          <cell r="P32">
            <v>66033.156072007434</v>
          </cell>
          <cell r="Q32">
            <v>66966.503417820553</v>
          </cell>
          <cell r="R32">
            <v>66966.503417820553</v>
          </cell>
          <cell r="S32">
            <v>66966.503417820553</v>
          </cell>
          <cell r="T32">
            <v>66966.503417820553</v>
          </cell>
          <cell r="U32">
            <v>66966.503417820553</v>
          </cell>
          <cell r="V32">
            <v>66966.503417820553</v>
          </cell>
          <cell r="W32">
            <v>66966.503417820553</v>
          </cell>
          <cell r="X32">
            <v>66966.503417820553</v>
          </cell>
          <cell r="Y32">
            <v>66966.503417820437</v>
          </cell>
          <cell r="Z32">
            <v>66966.503417820437</v>
          </cell>
        </row>
        <row r="33">
          <cell r="E33" t="str">
            <v>Gross Margin</v>
          </cell>
          <cell r="F33" t="str">
            <v>[%]</v>
          </cell>
          <cell r="J33">
            <v>5.8990460590671555E-2</v>
          </cell>
          <cell r="K33">
            <v>6.9472778980434816E-2</v>
          </cell>
          <cell r="L33">
            <v>2.1337336944583282E-3</v>
          </cell>
          <cell r="M33">
            <v>0.20973187484081116</v>
          </cell>
          <cell r="N33">
            <v>0.16683533860970348</v>
          </cell>
          <cell r="O33">
            <v>0.18599113063801093</v>
          </cell>
          <cell r="P33">
            <v>0.18304222180324931</v>
          </cell>
          <cell r="Q33">
            <v>0.18497929120274567</v>
          </cell>
          <cell r="R33">
            <v>0.18497929120274567</v>
          </cell>
          <cell r="S33">
            <v>0.18497929120274567</v>
          </cell>
          <cell r="T33">
            <v>0.18497929120274567</v>
          </cell>
          <cell r="U33">
            <v>0.18497929120274567</v>
          </cell>
          <cell r="V33">
            <v>0.18497929120274567</v>
          </cell>
          <cell r="W33">
            <v>0.18497929120274567</v>
          </cell>
          <cell r="X33">
            <v>0.18497929120274567</v>
          </cell>
          <cell r="Y33">
            <v>0.18497929120274539</v>
          </cell>
          <cell r="Z33">
            <v>0.18497929120274539</v>
          </cell>
        </row>
        <row r="34">
          <cell r="E34" t="str">
            <v>(-) SG&amp;A</v>
          </cell>
          <cell r="F34" t="str">
            <v>[R$ '000]</v>
          </cell>
          <cell r="J34">
            <v>-2831.7648377193395</v>
          </cell>
          <cell r="K34">
            <v>-3002.2173595190939</v>
          </cell>
          <cell r="L34">
            <v>-2966.7889094100383</v>
          </cell>
          <cell r="M34">
            <v>-2645.2055121808357</v>
          </cell>
          <cell r="N34">
            <v>-2645.2055121808357</v>
          </cell>
          <cell r="O34">
            <v>-2645.2055121808357</v>
          </cell>
          <cell r="P34">
            <v>-2645.2055121808357</v>
          </cell>
          <cell r="Q34">
            <v>-2645.2055121808357</v>
          </cell>
          <cell r="R34">
            <v>-2645.2055121808357</v>
          </cell>
          <cell r="S34">
            <v>-2645.2055121808357</v>
          </cell>
          <cell r="T34">
            <v>-2645.2055121808357</v>
          </cell>
          <cell r="U34">
            <v>-2645.2055121808357</v>
          </cell>
          <cell r="V34">
            <v>-2645.2055121808357</v>
          </cell>
          <cell r="W34">
            <v>-2645.2055121808357</v>
          </cell>
          <cell r="X34">
            <v>-2645.2055121808357</v>
          </cell>
          <cell r="Y34">
            <v>-2645.2055121808357</v>
          </cell>
          <cell r="Z34">
            <v>-2645.2055121808357</v>
          </cell>
        </row>
        <row r="35">
          <cell r="E35" t="str">
            <v>(-) Other operating income (expense)</v>
          </cell>
          <cell r="F35" t="str">
            <v>[R$ '000]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E36" t="str">
            <v>EBITDA</v>
          </cell>
          <cell r="F36" t="str">
            <v>[R$ '000]</v>
          </cell>
          <cell r="J36">
            <v>13872.94636843387</v>
          </cell>
          <cell r="K36">
            <v>10902.608178420549</v>
          </cell>
          <cell r="L36">
            <v>-2544.7664120531399</v>
          </cell>
          <cell r="M36">
            <v>70478.321791601629</v>
          </cell>
          <cell r="N36">
            <v>54128.914630092477</v>
          </cell>
          <cell r="O36">
            <v>64811.450738430285</v>
          </cell>
          <cell r="P36">
            <v>63387.950559826597</v>
          </cell>
          <cell r="Q36">
            <v>64321.297905639716</v>
          </cell>
          <cell r="R36">
            <v>64321.297905639716</v>
          </cell>
          <cell r="S36">
            <v>64321.297905639716</v>
          </cell>
          <cell r="T36">
            <v>64321.297905639716</v>
          </cell>
          <cell r="U36">
            <v>64321.297905639716</v>
          </cell>
          <cell r="V36">
            <v>64321.297905639716</v>
          </cell>
          <cell r="W36">
            <v>64321.297905639716</v>
          </cell>
          <cell r="X36">
            <v>64321.297905639716</v>
          </cell>
          <cell r="Y36">
            <v>64321.2979056396</v>
          </cell>
          <cell r="Z36">
            <v>64321.2979056396</v>
          </cell>
        </row>
        <row r="37">
          <cell r="E37" t="str">
            <v>EBITDA Margin</v>
          </cell>
          <cell r="F37" t="str">
            <v>[%]</v>
          </cell>
          <cell r="J37">
            <v>4.8990460590671553E-2</v>
          </cell>
          <cell r="K37">
            <v>5.4472778980434816E-2</v>
          </cell>
          <cell r="L37">
            <v>-1.2866266305541671E-2</v>
          </cell>
          <cell r="M37">
            <v>0.20214493351200799</v>
          </cell>
          <cell r="N37">
            <v>0.15906218851576928</v>
          </cell>
          <cell r="O37">
            <v>0.178697784194146</v>
          </cell>
          <cell r="P37">
            <v>0.17570977969571486</v>
          </cell>
          <cell r="Q37">
            <v>0.17767253012436157</v>
          </cell>
          <cell r="R37">
            <v>0.17767253012436157</v>
          </cell>
          <cell r="S37">
            <v>0.17767253012436157</v>
          </cell>
          <cell r="T37">
            <v>0.17767253012436157</v>
          </cell>
          <cell r="U37">
            <v>0.17767253012436157</v>
          </cell>
          <cell r="V37">
            <v>0.17767253012436157</v>
          </cell>
          <cell r="W37">
            <v>0.17767253012436157</v>
          </cell>
          <cell r="X37">
            <v>0.17767253012436157</v>
          </cell>
          <cell r="Y37">
            <v>0.17767253012436129</v>
          </cell>
          <cell r="Z37">
            <v>0.17767253012436129</v>
          </cell>
        </row>
        <row r="38">
          <cell r="E38" t="str">
            <v>Growth</v>
          </cell>
          <cell r="F38" t="str">
            <v>[%]</v>
          </cell>
          <cell r="J38"/>
          <cell r="K38">
            <v>-0.21411011843684113</v>
          </cell>
          <cell r="L38">
            <v>-1.2334089577840628</v>
          </cell>
          <cell r="M38">
            <v>-28.695399254636932</v>
          </cell>
          <cell r="N38">
            <v>-0.23197781595669875</v>
          </cell>
          <cell r="O38">
            <v>0.1973535989284172</v>
          </cell>
          <cell r="P38">
            <v>-2.1963714164472736E-2</v>
          </cell>
          <cell r="Q38">
            <v>1.4724365397051464E-2</v>
          </cell>
          <cell r="R38">
            <v>0</v>
          </cell>
          <cell r="S38">
            <v>0</v>
          </cell>
          <cell r="T38">
            <v>0</v>
          </cell>
          <cell r="U38">
            <v>0</v>
          </cell>
          <cell r="V38">
            <v>0</v>
          </cell>
          <cell r="W38">
            <v>0</v>
          </cell>
          <cell r="X38">
            <v>0</v>
          </cell>
          <cell r="Y38">
            <v>-1.7763568394002505E-15</v>
          </cell>
          <cell r="Z38">
            <v>0</v>
          </cell>
        </row>
        <row r="40">
          <cell r="E40" t="str">
            <v>(-) D&amp;A</v>
          </cell>
          <cell r="F40" t="str">
            <v>[R$ '000]</v>
          </cell>
          <cell r="J40">
            <v>-27392.604059999998</v>
          </cell>
          <cell r="K40">
            <v>-37507.249559999989</v>
          </cell>
          <cell r="L40">
            <v>-37600.738429999998</v>
          </cell>
          <cell r="M40">
            <v>-32396.788789999999</v>
          </cell>
          <cell r="N40">
            <v>-30729.759346399998</v>
          </cell>
          <cell r="O40">
            <v>-28282.188224831996</v>
          </cell>
          <cell r="P40">
            <v>-26248.325637852155</v>
          </cell>
          <cell r="Q40">
            <v>-24578.526561309896</v>
          </cell>
          <cell r="R40">
            <v>-23229.103373952708</v>
          </cell>
          <cell r="S40">
            <v>-22161.610969078385</v>
          </cell>
          <cell r="T40">
            <v>-21342.217652788975</v>
          </cell>
          <cell r="U40">
            <v>-20741.1515344543</v>
          </cell>
          <cell r="V40">
            <v>-20332.213350319784</v>
          </cell>
          <cell r="W40">
            <v>-19092.347748281412</v>
          </cell>
          <cell r="X40">
            <v>-18001.26601848764</v>
          </cell>
          <cell r="Y40">
            <v>-17041.114096269124</v>
          </cell>
          <cell r="Z40">
            <v>-16196.18040471683</v>
          </cell>
        </row>
        <row r="42">
          <cell r="E42" t="str">
            <v>EBIT</v>
          </cell>
          <cell r="F42" t="str">
            <v>[R$ '000]</v>
          </cell>
          <cell r="J42">
            <v>-13519.657691566128</v>
          </cell>
          <cell r="K42">
            <v>-26604.64138157944</v>
          </cell>
          <cell r="L42">
            <v>-40145.504842053138</v>
          </cell>
          <cell r="M42">
            <v>38081.533001601631</v>
          </cell>
          <cell r="N42">
            <v>23399.155283692478</v>
          </cell>
          <cell r="O42">
            <v>36529.262513598289</v>
          </cell>
          <cell r="P42">
            <v>37139.624921974442</v>
          </cell>
          <cell r="Q42">
            <v>39742.77134432982</v>
          </cell>
          <cell r="R42">
            <v>41092.194531687011</v>
          </cell>
          <cell r="S42">
            <v>42159.686936561331</v>
          </cell>
          <cell r="T42">
            <v>42979.080252850741</v>
          </cell>
          <cell r="U42">
            <v>43580.146371185416</v>
          </cell>
          <cell r="V42">
            <v>43989.084555319932</v>
          </cell>
          <cell r="W42">
            <v>45228.950157358304</v>
          </cell>
          <cell r="X42">
            <v>46320.031887152072</v>
          </cell>
          <cell r="Y42">
            <v>47280.183809370472</v>
          </cell>
          <cell r="Z42">
            <v>48125.117500922774</v>
          </cell>
        </row>
        <row r="43">
          <cell r="E43" t="str">
            <v>(+/-) Financial Result</v>
          </cell>
          <cell r="F43" t="str">
            <v>[R$ '000]</v>
          </cell>
          <cell r="J43">
            <v>0</v>
          </cell>
          <cell r="K43">
            <v>0</v>
          </cell>
          <cell r="L43">
            <v>0</v>
          </cell>
          <cell r="M43">
            <v>0</v>
          </cell>
          <cell r="N43">
            <v>1984.3086212779542</v>
          </cell>
          <cell r="O43">
            <v>3007.3419670632434</v>
          </cell>
          <cell r="P43">
            <v>4367.2277946234699</v>
          </cell>
          <cell r="Q43">
            <v>5730.1893683285743</v>
          </cell>
          <cell r="R43">
            <v>6958.6443087748339</v>
          </cell>
          <cell r="S43">
            <v>8081.7951852234182</v>
          </cell>
          <cell r="T43">
            <v>9114.3159564981725</v>
          </cell>
          <cell r="U43">
            <v>10077.270235219956</v>
          </cell>
          <cell r="V43">
            <v>10989.194000495127</v>
          </cell>
          <cell r="W43">
            <v>11866.398913937275</v>
          </cell>
          <cell r="X43">
            <v>12638.339237766368</v>
          </cell>
          <cell r="Y43">
            <v>13317.646722735966</v>
          </cell>
          <cell r="Z43">
            <v>13915.437309509216</v>
          </cell>
        </row>
        <row r="45">
          <cell r="E45" t="str">
            <v>EBT</v>
          </cell>
          <cell r="F45" t="str">
            <v>[R$ '000]</v>
          </cell>
          <cell r="J45">
            <v>-13519.657691566128</v>
          </cell>
          <cell r="K45">
            <v>-26604.64138157944</v>
          </cell>
          <cell r="L45">
            <v>-40145.504842053138</v>
          </cell>
          <cell r="M45">
            <v>38081.533001601631</v>
          </cell>
          <cell r="N45">
            <v>25383.463904970431</v>
          </cell>
          <cell r="O45">
            <v>39536.604480661532</v>
          </cell>
          <cell r="P45">
            <v>41506.85271659791</v>
          </cell>
          <cell r="Q45">
            <v>45472.960712658394</v>
          </cell>
          <cell r="R45">
            <v>48050.838840461845</v>
          </cell>
          <cell r="S45">
            <v>50241.482121784749</v>
          </cell>
          <cell r="T45">
            <v>52093.39620934891</v>
          </cell>
          <cell r="U45">
            <v>53657.416606405372</v>
          </cell>
          <cell r="V45">
            <v>54978.278555815057</v>
          </cell>
          <cell r="W45">
            <v>57095.349071295583</v>
          </cell>
          <cell r="X45">
            <v>58958.371124918442</v>
          </cell>
          <cell r="Y45">
            <v>60597.83053210644</v>
          </cell>
          <cell r="Z45">
            <v>62040.55481043199</v>
          </cell>
        </row>
        <row r="46">
          <cell r="E46" t="str">
            <v>(-) Income Tax Expense</v>
          </cell>
          <cell r="F46" t="str">
            <v>[R$ '000]</v>
          </cell>
          <cell r="J46">
            <v>0</v>
          </cell>
          <cell r="K46">
            <v>0</v>
          </cell>
          <cell r="L46">
            <v>0</v>
          </cell>
          <cell r="M46">
            <v>-12947.721220544554</v>
          </cell>
          <cell r="N46">
            <v>-8630.3777276899455</v>
          </cell>
          <cell r="O46">
            <v>-13442.44552342492</v>
          </cell>
          <cell r="P46">
            <v>-14112.329923643289</v>
          </cell>
          <cell r="Q46">
            <v>-15460.806642303853</v>
          </cell>
          <cell r="R46">
            <v>-16337.285205757025</v>
          </cell>
          <cell r="S46">
            <v>-17082.103921406811</v>
          </cell>
          <cell r="T46">
            <v>-17711.754711178626</v>
          </cell>
          <cell r="U46">
            <v>-18243.521646177825</v>
          </cell>
          <cell r="V46">
            <v>-18692.614708977118</v>
          </cell>
          <cell r="W46">
            <v>-19412.418684240496</v>
          </cell>
          <cell r="X46">
            <v>-20045.846182472269</v>
          </cell>
          <cell r="Y46">
            <v>-20603.262380916189</v>
          </cell>
          <cell r="Z46">
            <v>-21093.788635546876</v>
          </cell>
        </row>
        <row r="48">
          <cell r="E48" t="str">
            <v>Net Income</v>
          </cell>
          <cell r="F48" t="str">
            <v>[R$ '000]</v>
          </cell>
          <cell r="J48">
            <v>-13519.657691566128</v>
          </cell>
          <cell r="K48">
            <v>-26604.64138157944</v>
          </cell>
          <cell r="L48">
            <v>-40145.504842053138</v>
          </cell>
          <cell r="M48">
            <v>25133.811781057077</v>
          </cell>
          <cell r="N48">
            <v>16753.086177280486</v>
          </cell>
          <cell r="O48">
            <v>26094.158957236614</v>
          </cell>
          <cell r="P48">
            <v>27394.522792954624</v>
          </cell>
          <cell r="Q48">
            <v>30012.15407035454</v>
          </cell>
          <cell r="R48">
            <v>31713.553634704818</v>
          </cell>
          <cell r="S48">
            <v>33159.378200377934</v>
          </cell>
          <cell r="T48">
            <v>34381.641498170284</v>
          </cell>
          <cell r="U48">
            <v>35413.894960227546</v>
          </cell>
          <cell r="V48">
            <v>36285.663846837939</v>
          </cell>
          <cell r="W48">
            <v>37682.930387055087</v>
          </cell>
          <cell r="X48">
            <v>38912.524942446173</v>
          </cell>
          <cell r="Y48">
            <v>39994.568151190251</v>
          </cell>
          <cell r="Z48">
            <v>40946.76617488511</v>
          </cell>
        </row>
        <row r="49">
          <cell r="E49" t="str">
            <v>Net Margin</v>
          </cell>
          <cell r="F49" t="str">
            <v>[%]</v>
          </cell>
          <cell r="J49">
            <v>-4.7742868727950798E-2</v>
          </cell>
          <cell r="K49">
            <v>-0.13292495943318908</v>
          </cell>
          <cell r="L49">
            <v>-0.20297452600041715</v>
          </cell>
          <cell r="M49">
            <v>7.208844623752847E-2</v>
          </cell>
          <cell r="N49">
            <v>4.9230297151941327E-2</v>
          </cell>
          <cell r="O49">
            <v>7.194667505418266E-2</v>
          </cell>
          <cell r="P49">
            <v>7.5936917384262934E-2</v>
          </cell>
          <cell r="Q49">
            <v>8.2901550836002424E-2</v>
          </cell>
          <cell r="R49">
            <v>8.7601268895082449E-2</v>
          </cell>
          <cell r="S49">
            <v>9.1595020841381006E-2</v>
          </cell>
          <cell r="T49">
            <v>9.4971237112941531E-2</v>
          </cell>
          <cell r="U49">
            <v>9.7822595687863334E-2</v>
          </cell>
          <cell r="V49">
            <v>0.10023065318687387</v>
          </cell>
          <cell r="W49">
            <v>0.10409027495356596</v>
          </cell>
          <cell r="X49">
            <v>0.107486742108255</v>
          </cell>
          <cell r="Y49">
            <v>0.11047563320438117</v>
          </cell>
          <cell r="Z49">
            <v>0.11310585736897236</v>
          </cell>
        </row>
        <row r="50">
          <cell r="E50" t="str">
            <v>Growth</v>
          </cell>
          <cell r="F50" t="str">
            <v>[%]</v>
          </cell>
          <cell r="J50"/>
          <cell r="K50">
            <v>0.96784874207103821</v>
          </cell>
          <cell r="L50">
            <v>0.5089662088002862</v>
          </cell>
          <cell r="M50">
            <v>-1.6260678967655915</v>
          </cell>
          <cell r="N50">
            <v>-0.33344427326749537</v>
          </cell>
          <cell r="O50">
            <v>0.5575732543311287</v>
          </cell>
          <cell r="P50">
            <v>4.9833521664716551E-2</v>
          </cell>
          <cell r="Q50">
            <v>9.5553089104115418E-2</v>
          </cell>
          <cell r="R50">
            <v>5.6690351527646232E-2</v>
          </cell>
          <cell r="S50">
            <v>4.5590115265131237E-2</v>
          </cell>
          <cell r="T50">
            <v>3.6860259875995505E-2</v>
          </cell>
          <cell r="U50">
            <v>3.0023390887610635E-2</v>
          </cell>
          <cell r="V50">
            <v>2.4616577408089535E-2</v>
          </cell>
          <cell r="W50">
            <v>3.8507399123659969E-2</v>
          </cell>
          <cell r="X50">
            <v>3.2630014246808114E-2</v>
          </cell>
          <cell r="Y50">
            <v>2.7807067527601426E-2</v>
          </cell>
          <cell r="Z50">
            <v>2.3808183653722503E-2</v>
          </cell>
        </row>
        <row r="52">
          <cell r="B52">
            <v>3</v>
          </cell>
          <cell r="E52" t="str">
            <v>Balance sheet</v>
          </cell>
          <cell r="J52">
            <v>2014</v>
          </cell>
          <cell r="K52">
            <v>2015</v>
          </cell>
          <cell r="L52">
            <v>2016</v>
          </cell>
          <cell r="M52">
            <v>2017</v>
          </cell>
          <cell r="N52">
            <v>2018</v>
          </cell>
          <cell r="O52">
            <v>2019</v>
          </cell>
          <cell r="P52">
            <v>2020</v>
          </cell>
          <cell r="Q52">
            <v>2021</v>
          </cell>
          <cell r="R52">
            <v>2022</v>
          </cell>
          <cell r="S52">
            <v>2023</v>
          </cell>
          <cell r="T52">
            <v>2024</v>
          </cell>
          <cell r="U52">
            <v>2025</v>
          </cell>
          <cell r="V52">
            <v>2026</v>
          </cell>
          <cell r="W52">
            <v>2027</v>
          </cell>
          <cell r="X52">
            <v>2028</v>
          </cell>
          <cell r="Y52">
            <v>2029</v>
          </cell>
          <cell r="Z52">
            <v>2030</v>
          </cell>
        </row>
        <row r="54">
          <cell r="E54" t="str">
            <v>Total Assets</v>
          </cell>
          <cell r="F54" t="str">
            <v>[R$'000]</v>
          </cell>
          <cell r="J54">
            <v>496690.11210810411</v>
          </cell>
          <cell r="K54">
            <v>458707.07603703998</v>
          </cell>
          <cell r="L54">
            <v>310817.61360580841</v>
          </cell>
          <cell r="M54">
            <v>326915.73989610001</v>
          </cell>
          <cell r="N54">
            <v>317899.44658208406</v>
          </cell>
          <cell r="O54">
            <v>318861.47074343771</v>
          </cell>
          <cell r="P54">
            <v>318819.52793858346</v>
          </cell>
          <cell r="Q54">
            <v>318847.02860642679</v>
          </cell>
          <cell r="R54">
            <v>318847.02860642673</v>
          </cell>
          <cell r="S54">
            <v>318847.02860642667</v>
          </cell>
          <cell r="T54">
            <v>318847.02860642667</v>
          </cell>
          <cell r="U54">
            <v>318847.02860642667</v>
          </cell>
          <cell r="V54">
            <v>318847.02860642667</v>
          </cell>
          <cell r="W54">
            <v>318847.02860642667</v>
          </cell>
          <cell r="X54">
            <v>318847.02860642667</v>
          </cell>
          <cell r="Y54">
            <v>318847.02860642667</v>
          </cell>
          <cell r="Z54">
            <v>318847.02860642667</v>
          </cell>
        </row>
        <row r="56">
          <cell r="E56" t="str">
            <v>Current Assets</v>
          </cell>
          <cell r="F56" t="str">
            <v>[R$'000]</v>
          </cell>
          <cell r="J56">
            <v>30888.51038810415</v>
          </cell>
          <cell r="K56">
            <v>30412.723877039978</v>
          </cell>
          <cell r="L56">
            <v>40006.16359580843</v>
          </cell>
          <cell r="M56">
            <v>78501.078676100034</v>
          </cell>
          <cell r="N56">
            <v>90214.544708484085</v>
          </cell>
          <cell r="O56">
            <v>109458.75709466974</v>
          </cell>
          <cell r="P56">
            <v>125665.13992766768</v>
          </cell>
          <cell r="Q56">
            <v>140271.16715682085</v>
          </cell>
          <cell r="R56">
            <v>153500.27053077356</v>
          </cell>
          <cell r="S56">
            <v>165661.88149985191</v>
          </cell>
          <cell r="T56">
            <v>177004.09915264088</v>
          </cell>
          <cell r="U56">
            <v>187745.25068709519</v>
          </cell>
          <cell r="V56">
            <v>198077.46403741496</v>
          </cell>
          <cell r="W56">
            <v>207169.81178569637</v>
          </cell>
          <cell r="X56">
            <v>215171.07780418399</v>
          </cell>
          <cell r="Y56">
            <v>222212.19190045312</v>
          </cell>
          <cell r="Z56">
            <v>228408.37230516996</v>
          </cell>
        </row>
        <row r="57">
          <cell r="E57" t="str">
            <v>Cash and Cash Equivalents</v>
          </cell>
          <cell r="F57" t="str">
            <v>[R$'000]</v>
          </cell>
          <cell r="J57">
            <v>0</v>
          </cell>
          <cell r="K57">
            <v>0</v>
          </cell>
          <cell r="L57">
            <v>0</v>
          </cell>
          <cell r="M57">
            <v>23181.175482219089</v>
          </cell>
          <cell r="N57">
            <v>34807.19869286161</v>
          </cell>
          <cell r="O57">
            <v>51078.687656414848</v>
          </cell>
          <cell r="P57">
            <v>67493.396564529728</v>
          </cell>
          <cell r="Q57">
            <v>81962.830492047506</v>
          </cell>
          <cell r="R57">
            <v>95191.93386600021</v>
          </cell>
          <cell r="S57">
            <v>107353.54483507859</v>
          </cell>
          <cell r="T57">
            <v>118695.76248786756</v>
          </cell>
          <cell r="U57">
            <v>129436.91402232186</v>
          </cell>
          <cell r="V57">
            <v>139769.12737264164</v>
          </cell>
          <cell r="W57">
            <v>148861.47512092305</v>
          </cell>
          <cell r="X57">
            <v>156862.74113941067</v>
          </cell>
          <cell r="Y57">
            <v>163903.8552356798</v>
          </cell>
          <cell r="Z57">
            <v>170100.03564039664</v>
          </cell>
        </row>
        <row r="58">
          <cell r="E58" t="str">
            <v>Accounts Receivable</v>
          </cell>
          <cell r="F58" t="str">
            <v>[R$'000]</v>
          </cell>
          <cell r="J58">
            <v>23274.779488104152</v>
          </cell>
          <cell r="K58">
            <v>16450.506079556682</v>
          </cell>
          <cell r="L58">
            <v>16256.37758580843</v>
          </cell>
          <cell r="M58">
            <v>28656.363910539516</v>
          </cell>
          <cell r="N58">
            <v>27969.889820570377</v>
          </cell>
          <cell r="O58">
            <v>29809.930648362744</v>
          </cell>
          <cell r="P58">
            <v>29650.987828828791</v>
          </cell>
          <cell r="Q58">
            <v>29755.201977149856</v>
          </cell>
          <cell r="R58">
            <v>29755.201977149856</v>
          </cell>
          <cell r="S58">
            <v>29755.201977149856</v>
          </cell>
          <cell r="T58">
            <v>29755.201977149856</v>
          </cell>
          <cell r="U58">
            <v>29755.201977149856</v>
          </cell>
          <cell r="V58">
            <v>29755.201977149856</v>
          </cell>
          <cell r="W58">
            <v>29755.201977149856</v>
          </cell>
          <cell r="X58">
            <v>29755.201977149856</v>
          </cell>
          <cell r="Y58">
            <v>29755.201977149845</v>
          </cell>
          <cell r="Z58">
            <v>29755.201977149845</v>
          </cell>
        </row>
        <row r="59">
          <cell r="E59" t="str">
            <v>Inventories</v>
          </cell>
          <cell r="F59" t="str">
            <v>[R$'000]</v>
          </cell>
          <cell r="J59">
            <v>7613.7309000000005</v>
          </cell>
          <cell r="K59">
            <v>13962.217797483298</v>
          </cell>
          <cell r="L59">
            <v>23749.78601</v>
          </cell>
          <cell r="M59">
            <v>26663.539283341433</v>
          </cell>
          <cell r="N59">
            <v>27437.456195052102</v>
          </cell>
          <cell r="O59">
            <v>28570.138789892131</v>
          </cell>
          <cell r="P59">
            <v>28520.755534309159</v>
          </cell>
          <cell r="Q59">
            <v>28553.134687623478</v>
          </cell>
          <cell r="R59">
            <v>28553.134687623478</v>
          </cell>
          <cell r="S59">
            <v>28553.134687623478</v>
          </cell>
          <cell r="T59">
            <v>28553.134687623478</v>
          </cell>
          <cell r="U59">
            <v>28553.134687623478</v>
          </cell>
          <cell r="V59">
            <v>28553.134687623478</v>
          </cell>
          <cell r="W59">
            <v>28553.134687623478</v>
          </cell>
          <cell r="X59">
            <v>28553.134687623478</v>
          </cell>
          <cell r="Y59">
            <v>28553.134687623478</v>
          </cell>
          <cell r="Z59">
            <v>28553.134687623478</v>
          </cell>
        </row>
        <row r="60">
          <cell r="E60" t="str">
            <v>Advances to Related Parties</v>
          </cell>
          <cell r="F60" t="str">
            <v>[R$'000]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E61" t="str">
            <v>Recoverable Taxes</v>
          </cell>
          <cell r="F61" t="str">
            <v>[R$'000]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row>
        <row r="63">
          <cell r="E63" t="str">
            <v>Non-Current Assets</v>
          </cell>
          <cell r="F63" t="str">
            <v>[R$'000]</v>
          </cell>
          <cell r="J63">
            <v>465801.60171999998</v>
          </cell>
          <cell r="K63">
            <v>428294.35216000001</v>
          </cell>
          <cell r="L63">
            <v>270811.45000999997</v>
          </cell>
          <cell r="M63">
            <v>248414.66121999995</v>
          </cell>
          <cell r="N63">
            <v>227684.90187359997</v>
          </cell>
          <cell r="O63">
            <v>209402.71364876797</v>
          </cell>
          <cell r="P63">
            <v>193154.38801091578</v>
          </cell>
          <cell r="Q63">
            <v>178575.8614496059</v>
          </cell>
          <cell r="R63">
            <v>165346.75807565317</v>
          </cell>
          <cell r="S63">
            <v>153185.14710657479</v>
          </cell>
          <cell r="T63">
            <v>141842.92945378582</v>
          </cell>
          <cell r="U63">
            <v>131101.77791933151</v>
          </cell>
          <cell r="V63">
            <v>120769.56456901174</v>
          </cell>
          <cell r="W63">
            <v>111677.2168207303</v>
          </cell>
          <cell r="X63">
            <v>103675.95080224267</v>
          </cell>
          <cell r="Y63">
            <v>96634.836705973546</v>
          </cell>
          <cell r="Z63">
            <v>90438.656301256735</v>
          </cell>
        </row>
        <row r="64">
          <cell r="E64" t="str">
            <v>Financial investments - LT</v>
          </cell>
          <cell r="F64" t="str">
            <v>[R$'000]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E65" t="str">
            <v>Recoverable Taxes</v>
          </cell>
          <cell r="F65" t="str">
            <v>[R$'000]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E66" t="str">
            <v>Judicial Deposits</v>
          </cell>
          <cell r="F66" t="str">
            <v>[R$'000]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E67" t="str">
            <v>Investments</v>
          </cell>
          <cell r="F67" t="str">
            <v>[R$'000]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E68" t="str">
            <v>PP&amp;E</v>
          </cell>
          <cell r="F68" t="str">
            <v>[R$'000]</v>
          </cell>
          <cell r="J68">
            <v>465801.60171999998</v>
          </cell>
          <cell r="K68">
            <v>428294.35216000001</v>
          </cell>
          <cell r="L68">
            <v>270811.45000999997</v>
          </cell>
          <cell r="M68">
            <v>248414.66121999995</v>
          </cell>
          <cell r="N68">
            <v>227684.90187359997</v>
          </cell>
          <cell r="O68">
            <v>209402.71364876797</v>
          </cell>
          <cell r="P68">
            <v>193154.38801091578</v>
          </cell>
          <cell r="Q68">
            <v>178575.8614496059</v>
          </cell>
          <cell r="R68">
            <v>165346.75807565317</v>
          </cell>
          <cell r="S68">
            <v>153185.14710657479</v>
          </cell>
          <cell r="T68">
            <v>141842.92945378582</v>
          </cell>
          <cell r="U68">
            <v>131101.77791933151</v>
          </cell>
          <cell r="V68">
            <v>120769.56456901174</v>
          </cell>
          <cell r="W68">
            <v>111677.2168207303</v>
          </cell>
          <cell r="X68">
            <v>103675.95080224267</v>
          </cell>
          <cell r="Y68">
            <v>96634.836705973546</v>
          </cell>
          <cell r="Z68">
            <v>90438.656301256735</v>
          </cell>
        </row>
        <row r="69">
          <cell r="E69" t="str">
            <v>Intangible</v>
          </cell>
          <cell r="F69" t="str">
            <v>[R$'000]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1">
          <cell r="E71" t="str">
            <v>Total Liabilities and Shareholders' Equity</v>
          </cell>
          <cell r="F71" t="str">
            <v>[R$'000]</v>
          </cell>
          <cell r="J71">
            <v>496690.11210810411</v>
          </cell>
          <cell r="K71">
            <v>458707.07603703998</v>
          </cell>
          <cell r="L71">
            <v>310817.61360580841</v>
          </cell>
          <cell r="M71">
            <v>326915.73989610001</v>
          </cell>
          <cell r="N71">
            <v>317899.44658208406</v>
          </cell>
          <cell r="O71">
            <v>318861.47074343771</v>
          </cell>
          <cell r="P71">
            <v>318819.52793858352</v>
          </cell>
          <cell r="Q71">
            <v>318847.02860642679</v>
          </cell>
          <cell r="R71">
            <v>318847.02860642679</v>
          </cell>
          <cell r="S71">
            <v>318847.02860642679</v>
          </cell>
          <cell r="T71">
            <v>318847.02860642679</v>
          </cell>
          <cell r="U71">
            <v>318847.02860642679</v>
          </cell>
          <cell r="V71">
            <v>318847.02860642679</v>
          </cell>
          <cell r="W71">
            <v>318847.02860642679</v>
          </cell>
          <cell r="X71">
            <v>318847.02860642679</v>
          </cell>
          <cell r="Y71">
            <v>318847.02860642679</v>
          </cell>
          <cell r="Z71">
            <v>318847.02860642679</v>
          </cell>
        </row>
        <row r="73">
          <cell r="E73" t="str">
            <v>Current Liabilities</v>
          </cell>
          <cell r="F73" t="str">
            <v>[R$'000]</v>
          </cell>
          <cell r="J73">
            <v>21901.789525954577</v>
          </cell>
          <cell r="K73">
            <v>15307.64370657534</v>
          </cell>
          <cell r="L73">
            <v>16221.690805203754</v>
          </cell>
          <cell r="M73">
            <v>22646.210981461503</v>
          </cell>
          <cell r="N73">
            <v>23303.52378147942</v>
          </cell>
          <cell r="O73">
            <v>24265.547942833065</v>
          </cell>
          <cell r="P73">
            <v>24223.605137978866</v>
          </cell>
          <cell r="Q73">
            <v>24251.105805822139</v>
          </cell>
          <cell r="R73">
            <v>24251.105805822139</v>
          </cell>
          <cell r="S73">
            <v>24251.105805822139</v>
          </cell>
          <cell r="T73">
            <v>24251.105805822139</v>
          </cell>
          <cell r="U73">
            <v>24251.105805822139</v>
          </cell>
          <cell r="V73">
            <v>24251.105805822139</v>
          </cell>
          <cell r="W73">
            <v>24251.105805822139</v>
          </cell>
          <cell r="X73">
            <v>24251.105805822139</v>
          </cell>
          <cell r="Y73">
            <v>24251.105805822139</v>
          </cell>
          <cell r="Z73">
            <v>24251.105805822139</v>
          </cell>
        </row>
        <row r="74">
          <cell r="E74" t="str">
            <v>Suppliers and other payables</v>
          </cell>
          <cell r="F74" t="str">
            <v>[R$'000]</v>
          </cell>
          <cell r="J74">
            <v>21901.789525954577</v>
          </cell>
          <cell r="K74">
            <v>15307.64370657534</v>
          </cell>
          <cell r="L74">
            <v>16221.690805203754</v>
          </cell>
          <cell r="M74">
            <v>22646.210981461503</v>
          </cell>
          <cell r="N74">
            <v>23303.52378147942</v>
          </cell>
          <cell r="O74">
            <v>24265.547942833065</v>
          </cell>
          <cell r="P74">
            <v>24223.605137978866</v>
          </cell>
          <cell r="Q74">
            <v>24251.105805822139</v>
          </cell>
          <cell r="R74">
            <v>24251.105805822139</v>
          </cell>
          <cell r="S74">
            <v>24251.105805822139</v>
          </cell>
          <cell r="T74">
            <v>24251.105805822139</v>
          </cell>
          <cell r="U74">
            <v>24251.105805822139</v>
          </cell>
          <cell r="V74">
            <v>24251.105805822139</v>
          </cell>
          <cell r="W74">
            <v>24251.105805822139</v>
          </cell>
          <cell r="X74">
            <v>24251.105805822139</v>
          </cell>
          <cell r="Y74">
            <v>24251.105805822139</v>
          </cell>
          <cell r="Z74">
            <v>24251.105805822139</v>
          </cell>
        </row>
        <row r="75">
          <cell r="E75" t="str">
            <v>Short Term Debt</v>
          </cell>
          <cell r="F75" t="str">
            <v>[R$'000]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E76" t="str">
            <v>Revolver</v>
          </cell>
          <cell r="F76" t="str">
            <v>[R$'000]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E77" t="str">
            <v>IR / CSLL Provisions</v>
          </cell>
          <cell r="F77" t="str">
            <v>[R$'000]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9">
          <cell r="E79" t="str">
            <v>Non-Current Liabilities</v>
          </cell>
          <cell r="F79" t="str">
            <v>[R$'000]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E80" t="str">
            <v>Long Term Debt</v>
          </cell>
          <cell r="F80" t="str">
            <v>[R$'000]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E81" t="str">
            <v>Provisions</v>
          </cell>
          <cell r="F81" t="str">
            <v>[R$'000]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E82" t="str">
            <v>Deferred IR CSLL</v>
          </cell>
          <cell r="F82" t="str">
            <v>[R$'000]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E83" t="str">
            <v>Descomissionamento da mina</v>
          </cell>
          <cell r="F83" t="str">
            <v>[R$'000]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5">
          <cell r="E85" t="str">
            <v>Shareholders' Equity</v>
          </cell>
          <cell r="F85" t="str">
            <v>[R$'000]</v>
          </cell>
          <cell r="J85">
            <v>474788.32258214953</v>
          </cell>
          <cell r="K85">
            <v>443399.43233046465</v>
          </cell>
          <cell r="L85">
            <v>294595.92280060466</v>
          </cell>
          <cell r="M85">
            <v>304269.5289146385</v>
          </cell>
          <cell r="N85">
            <v>294595.92280060466</v>
          </cell>
          <cell r="O85">
            <v>294595.92280060466</v>
          </cell>
          <cell r="P85">
            <v>294595.92280060466</v>
          </cell>
          <cell r="Q85">
            <v>294595.92280060466</v>
          </cell>
          <cell r="R85">
            <v>294595.92280060466</v>
          </cell>
          <cell r="S85">
            <v>294595.92280060466</v>
          </cell>
          <cell r="T85">
            <v>294595.92280060466</v>
          </cell>
          <cell r="U85">
            <v>294595.92280060466</v>
          </cell>
          <cell r="V85">
            <v>294595.92280060466</v>
          </cell>
          <cell r="W85">
            <v>294595.92280060466</v>
          </cell>
          <cell r="X85">
            <v>294595.92280060466</v>
          </cell>
          <cell r="Y85">
            <v>294595.92280060466</v>
          </cell>
          <cell r="Z85">
            <v>294595.92280060466</v>
          </cell>
        </row>
        <row r="86">
          <cell r="E86" t="str">
            <v>Capital</v>
          </cell>
          <cell r="F86" t="str">
            <v>[R$'000]</v>
          </cell>
          <cell r="J86">
            <v>474788.32258214953</v>
          </cell>
          <cell r="K86">
            <v>443399.43233046465</v>
          </cell>
          <cell r="L86">
            <v>294595.92280060466</v>
          </cell>
          <cell r="M86">
            <v>294595.92280060466</v>
          </cell>
          <cell r="N86">
            <v>294595.92280060466</v>
          </cell>
          <cell r="O86">
            <v>294595.92280060466</v>
          </cell>
          <cell r="P86">
            <v>294595.92280060466</v>
          </cell>
          <cell r="Q86">
            <v>294595.92280060466</v>
          </cell>
          <cell r="R86">
            <v>294595.92280060466</v>
          </cell>
          <cell r="S86">
            <v>294595.92280060466</v>
          </cell>
          <cell r="T86">
            <v>294595.92280060466</v>
          </cell>
          <cell r="U86">
            <v>294595.92280060466</v>
          </cell>
          <cell r="V86">
            <v>294595.92280060466</v>
          </cell>
          <cell r="W86">
            <v>294595.92280060466</v>
          </cell>
          <cell r="X86">
            <v>294595.92280060466</v>
          </cell>
          <cell r="Y86">
            <v>294595.92280060466</v>
          </cell>
          <cell r="Z86">
            <v>294595.92280060466</v>
          </cell>
        </row>
        <row r="87">
          <cell r="E87" t="str">
            <v>Controling Shareholder's Contribution</v>
          </cell>
          <cell r="F87" t="str">
            <v>[R$'000]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E88" t="str">
            <v>Profit Reserves</v>
          </cell>
          <cell r="F88" t="str">
            <v>[R$'000]</v>
          </cell>
          <cell r="J88">
            <v>0</v>
          </cell>
          <cell r="K88">
            <v>0</v>
          </cell>
          <cell r="L88">
            <v>0</v>
          </cell>
          <cell r="M88">
            <v>9673.6061140338606</v>
          </cell>
          <cell r="N88">
            <v>0</v>
          </cell>
          <cell r="O88">
            <v>0</v>
          </cell>
          <cell r="P88">
            <v>0</v>
          </cell>
          <cell r="Q88">
            <v>0</v>
          </cell>
          <cell r="R88">
            <v>0</v>
          </cell>
          <cell r="S88">
            <v>0</v>
          </cell>
          <cell r="T88">
            <v>0</v>
          </cell>
          <cell r="U88">
            <v>0</v>
          </cell>
          <cell r="V88">
            <v>0</v>
          </cell>
          <cell r="W88">
            <v>0</v>
          </cell>
          <cell r="X88">
            <v>0</v>
          </cell>
          <cell r="Y88">
            <v>0</v>
          </cell>
          <cell r="Z88">
            <v>0</v>
          </cell>
        </row>
        <row r="89">
          <cell r="E89" t="str">
            <v xml:space="preserve">Adjustments to Shareholders' Equity </v>
          </cell>
          <cell r="F89" t="str">
            <v>[R$'000]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row>
        <row r="90">
          <cell r="E90" t="str">
            <v>Distributable Profits</v>
          </cell>
          <cell r="F90" t="str">
            <v>[R$'000]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row>
        <row r="93">
          <cell r="E93" t="str">
            <v>Total Debt</v>
          </cell>
          <cell r="F93" t="str">
            <v>[R$'000]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row>
        <row r="94">
          <cell r="E94" t="str">
            <v>(-) Cash</v>
          </cell>
          <cell r="F94" t="str">
            <v>[R$'000]</v>
          </cell>
          <cell r="J94">
            <v>0</v>
          </cell>
          <cell r="K94">
            <v>0</v>
          </cell>
          <cell r="L94">
            <v>0</v>
          </cell>
          <cell r="M94">
            <v>-23181.175482219089</v>
          </cell>
          <cell r="N94">
            <v>-34807.19869286161</v>
          </cell>
          <cell r="O94">
            <v>-51078.687656414848</v>
          </cell>
          <cell r="P94">
            <v>-67493.396564529728</v>
          </cell>
          <cell r="Q94">
            <v>-81962.830492047506</v>
          </cell>
          <cell r="R94">
            <v>-95191.93386600021</v>
          </cell>
          <cell r="S94">
            <v>-107353.54483507859</v>
          </cell>
          <cell r="T94">
            <v>-118695.76248786756</v>
          </cell>
          <cell r="U94">
            <v>-129436.91402232186</v>
          </cell>
          <cell r="V94">
            <v>-139769.12737264164</v>
          </cell>
          <cell r="W94">
            <v>-148861.47512092305</v>
          </cell>
          <cell r="X94">
            <v>-156862.74113941067</v>
          </cell>
          <cell r="Y94">
            <v>-163903.8552356798</v>
          </cell>
          <cell r="Z94">
            <v>-170100.03564039664</v>
          </cell>
        </row>
        <row r="95">
          <cell r="E95" t="str">
            <v>Net Debt</v>
          </cell>
          <cell r="F95" t="str">
            <v>[R$'000]</v>
          </cell>
          <cell r="J95">
            <v>0</v>
          </cell>
          <cell r="K95">
            <v>0</v>
          </cell>
          <cell r="L95">
            <v>0</v>
          </cell>
          <cell r="M95">
            <v>-23181.175482219089</v>
          </cell>
          <cell r="N95">
            <v>-34807.19869286161</v>
          </cell>
          <cell r="O95">
            <v>-51078.687656414848</v>
          </cell>
          <cell r="P95">
            <v>-67493.396564529728</v>
          </cell>
          <cell r="Q95">
            <v>-81962.830492047506</v>
          </cell>
          <cell r="R95">
            <v>-95191.93386600021</v>
          </cell>
          <cell r="S95">
            <v>-107353.54483507859</v>
          </cell>
          <cell r="T95">
            <v>-118695.76248786756</v>
          </cell>
          <cell r="U95">
            <v>-129436.91402232186</v>
          </cell>
          <cell r="V95">
            <v>-139769.12737264164</v>
          </cell>
          <cell r="W95">
            <v>-148861.47512092305</v>
          </cell>
          <cell r="X95">
            <v>-156862.74113941067</v>
          </cell>
          <cell r="Y95">
            <v>-163903.8552356798</v>
          </cell>
          <cell r="Z95">
            <v>-170100.03564039664</v>
          </cell>
        </row>
        <row r="97">
          <cell r="E97" t="str">
            <v>Check</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row>
        <row r="99">
          <cell r="B99">
            <v>4</v>
          </cell>
          <cell r="E99" t="str">
            <v>Cash Flow</v>
          </cell>
          <cell r="J99">
            <v>2014</v>
          </cell>
          <cell r="K99">
            <v>2015</v>
          </cell>
          <cell r="L99">
            <v>2016</v>
          </cell>
          <cell r="M99">
            <v>2017</v>
          </cell>
          <cell r="N99">
            <v>2018</v>
          </cell>
          <cell r="O99">
            <v>2019</v>
          </cell>
          <cell r="P99">
            <v>2020</v>
          </cell>
          <cell r="Q99">
            <v>2021</v>
          </cell>
          <cell r="R99">
            <v>2022</v>
          </cell>
          <cell r="S99">
            <v>2023</v>
          </cell>
          <cell r="T99">
            <v>2024</v>
          </cell>
          <cell r="U99">
            <v>2025</v>
          </cell>
          <cell r="V99">
            <v>2026</v>
          </cell>
          <cell r="W99">
            <v>2027</v>
          </cell>
          <cell r="X99">
            <v>2028</v>
          </cell>
          <cell r="Y99">
            <v>2029</v>
          </cell>
          <cell r="Z99">
            <v>2030</v>
          </cell>
        </row>
        <row r="101">
          <cell r="E101" t="str">
            <v>Net income</v>
          </cell>
          <cell r="F101" t="str">
            <v>[R$'000]</v>
          </cell>
          <cell r="M101">
            <v>25133.811781057077</v>
          </cell>
          <cell r="N101">
            <v>16753.086177280486</v>
          </cell>
          <cell r="O101">
            <v>26094.158957236614</v>
          </cell>
          <cell r="P101">
            <v>27394.522792954624</v>
          </cell>
          <cell r="Q101">
            <v>30012.15407035454</v>
          </cell>
          <cell r="R101">
            <v>31713.553634704818</v>
          </cell>
          <cell r="S101">
            <v>33159.378200377934</v>
          </cell>
          <cell r="T101">
            <v>34381.641498170284</v>
          </cell>
          <cell r="U101">
            <v>35413.894960227546</v>
          </cell>
          <cell r="V101">
            <v>36285.663846837939</v>
          </cell>
          <cell r="W101">
            <v>37682.930387055087</v>
          </cell>
          <cell r="X101">
            <v>38912.524942446173</v>
          </cell>
          <cell r="Y101">
            <v>39994.568151190251</v>
          </cell>
          <cell r="Z101">
            <v>40946.76617488511</v>
          </cell>
        </row>
        <row r="102">
          <cell r="E102" t="str">
            <v>(-) D&amp;A</v>
          </cell>
          <cell r="F102" t="str">
            <v>[R$'000]</v>
          </cell>
          <cell r="M102">
            <v>32396.788789999999</v>
          </cell>
          <cell r="N102">
            <v>30729.759346399998</v>
          </cell>
          <cell r="O102">
            <v>28282.188224831996</v>
          </cell>
          <cell r="P102">
            <v>26248.325637852155</v>
          </cell>
          <cell r="Q102">
            <v>24578.526561309896</v>
          </cell>
          <cell r="R102">
            <v>23229.103373952708</v>
          </cell>
          <cell r="S102">
            <v>22161.610969078385</v>
          </cell>
          <cell r="T102">
            <v>21342.217652788975</v>
          </cell>
          <cell r="U102">
            <v>20741.1515344543</v>
          </cell>
          <cell r="V102">
            <v>20332.213350319784</v>
          </cell>
          <cell r="W102">
            <v>19092.347748281412</v>
          </cell>
          <cell r="X102">
            <v>18001.26601848764</v>
          </cell>
          <cell r="Y102">
            <v>17041.114096269124</v>
          </cell>
          <cell r="Z102">
            <v>16196.18040471683</v>
          </cell>
        </row>
        <row r="103">
          <cell r="E103" t="str">
            <v>(-) Working Capital</v>
          </cell>
          <cell r="F103" t="str">
            <v>[R$'000]</v>
          </cell>
          <cell r="M103">
            <v>-8889.2194218147706</v>
          </cell>
          <cell r="N103">
            <v>569.86997827639061</v>
          </cell>
          <cell r="O103">
            <v>-2010.6992612787544</v>
          </cell>
          <cell r="P103">
            <v>166.383270262726</v>
          </cell>
          <cell r="Q103">
            <v>-109.09263379211188</v>
          </cell>
          <cell r="R103">
            <v>0</v>
          </cell>
          <cell r="S103">
            <v>0</v>
          </cell>
          <cell r="T103">
            <v>0</v>
          </cell>
          <cell r="U103">
            <v>0</v>
          </cell>
          <cell r="V103">
            <v>0</v>
          </cell>
          <cell r="W103">
            <v>0</v>
          </cell>
          <cell r="X103">
            <v>0</v>
          </cell>
          <cell r="Y103">
            <v>0</v>
          </cell>
          <cell r="Z103">
            <v>0</v>
          </cell>
        </row>
        <row r="104">
          <cell r="E104" t="str">
            <v xml:space="preserve">Operating Cash Flow </v>
          </cell>
          <cell r="F104" t="str">
            <v>[R$'000]</v>
          </cell>
          <cell r="M104">
            <v>48641.381149242305</v>
          </cell>
          <cell r="N104">
            <v>48052.715501956875</v>
          </cell>
          <cell r="O104">
            <v>52365.647920789852</v>
          </cell>
          <cell r="P104">
            <v>53809.231701069504</v>
          </cell>
          <cell r="Q104">
            <v>54481.587997872324</v>
          </cell>
          <cell r="R104">
            <v>54942.657008657523</v>
          </cell>
          <cell r="S104">
            <v>55320.989169456319</v>
          </cell>
          <cell r="T104">
            <v>55723.859150959259</v>
          </cell>
          <cell r="U104">
            <v>56155.046494681847</v>
          </cell>
          <cell r="V104">
            <v>56617.877197157723</v>
          </cell>
          <cell r="W104">
            <v>56775.278135336499</v>
          </cell>
          <cell r="X104">
            <v>56913.790960933809</v>
          </cell>
          <cell r="Y104">
            <v>57035.682247459379</v>
          </cell>
          <cell r="Z104">
            <v>57142.946579601936</v>
          </cell>
        </row>
        <row r="106">
          <cell r="E106" t="str">
            <v>CapEx</v>
          </cell>
          <cell r="F106" t="str">
            <v>[R$'000]</v>
          </cell>
          <cell r="M106">
            <v>-10000</v>
          </cell>
          <cell r="N106">
            <v>-10000</v>
          </cell>
          <cell r="O106">
            <v>-10000</v>
          </cell>
          <cell r="P106">
            <v>-10000</v>
          </cell>
          <cell r="Q106">
            <v>-10000</v>
          </cell>
          <cell r="R106">
            <v>-10000</v>
          </cell>
          <cell r="S106">
            <v>-10000</v>
          </cell>
          <cell r="T106">
            <v>-10000</v>
          </cell>
          <cell r="U106">
            <v>-10000</v>
          </cell>
          <cell r="V106">
            <v>-10000</v>
          </cell>
          <cell r="W106">
            <v>-10000</v>
          </cell>
          <cell r="X106">
            <v>-10000</v>
          </cell>
          <cell r="Y106">
            <v>-10000</v>
          </cell>
          <cell r="Z106">
            <v>-10000</v>
          </cell>
        </row>
        <row r="107">
          <cell r="E107" t="str">
            <v xml:space="preserve">Investing Cash Flow </v>
          </cell>
          <cell r="F107" t="str">
            <v>[R$'000]</v>
          </cell>
          <cell r="M107">
            <v>-10000</v>
          </cell>
          <cell r="N107">
            <v>-10000</v>
          </cell>
          <cell r="O107">
            <v>-10000</v>
          </cell>
          <cell r="P107">
            <v>-10000</v>
          </cell>
          <cell r="Q107">
            <v>-10000</v>
          </cell>
          <cell r="R107">
            <v>-10000</v>
          </cell>
          <cell r="S107">
            <v>-10000</v>
          </cell>
          <cell r="T107">
            <v>-10000</v>
          </cell>
          <cell r="U107">
            <v>-10000</v>
          </cell>
          <cell r="V107">
            <v>-10000</v>
          </cell>
          <cell r="W107">
            <v>-10000</v>
          </cell>
          <cell r="X107">
            <v>-10000</v>
          </cell>
          <cell r="Y107">
            <v>-10000</v>
          </cell>
          <cell r="Z107">
            <v>-10000</v>
          </cell>
        </row>
        <row r="109">
          <cell r="E109" t="str">
            <v>Existing debt amortization</v>
          </cell>
          <cell r="F109" t="str">
            <v>[R$'000]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row>
        <row r="110">
          <cell r="E110" t="str">
            <v>Capital increase</v>
          </cell>
          <cell r="F110" t="str">
            <v>[R$'000]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row>
        <row r="111">
          <cell r="E111" t="str">
            <v>Revolver amortization</v>
          </cell>
          <cell r="F111" t="str">
            <v>[R$'000]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row>
        <row r="112">
          <cell r="E112" t="str">
            <v>Dividends</v>
          </cell>
          <cell r="F112" t="str">
            <v>[R$'000]</v>
          </cell>
          <cell r="M112">
            <v>-15460.205667023216</v>
          </cell>
          <cell r="N112">
            <v>-26426.692291314346</v>
          </cell>
          <cell r="O112">
            <v>-26094.158957236614</v>
          </cell>
          <cell r="P112">
            <v>-27394.522792954624</v>
          </cell>
          <cell r="Q112">
            <v>-30012.15407035454</v>
          </cell>
          <cell r="R112">
            <v>-31713.553634704818</v>
          </cell>
          <cell r="S112">
            <v>-33159.378200377934</v>
          </cell>
          <cell r="T112">
            <v>-34381.641498170284</v>
          </cell>
          <cell r="U112">
            <v>-35413.894960227546</v>
          </cell>
          <cell r="V112">
            <v>-36285.663846837939</v>
          </cell>
          <cell r="W112">
            <v>-37682.930387055087</v>
          </cell>
          <cell r="X112">
            <v>-38912.524942446173</v>
          </cell>
          <cell r="Y112">
            <v>-39994.568151190251</v>
          </cell>
          <cell r="Z112">
            <v>-40946.76617488511</v>
          </cell>
        </row>
        <row r="113">
          <cell r="E113" t="str">
            <v xml:space="preserve">Revolver raising </v>
          </cell>
          <cell r="F113" t="str">
            <v>[R$'000]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row>
        <row r="114">
          <cell r="E114" t="str">
            <v xml:space="preserve">Financing Cash Flow </v>
          </cell>
          <cell r="F114" t="str">
            <v>[R$'000]</v>
          </cell>
          <cell r="M114">
            <v>-15460.205667023216</v>
          </cell>
          <cell r="N114">
            <v>-26426.692291314346</v>
          </cell>
          <cell r="O114">
            <v>-26094.158957236614</v>
          </cell>
          <cell r="P114">
            <v>-27394.522792954624</v>
          </cell>
          <cell r="Q114">
            <v>-30012.15407035454</v>
          </cell>
          <cell r="R114">
            <v>-31713.553634704818</v>
          </cell>
          <cell r="S114">
            <v>-33159.378200377934</v>
          </cell>
          <cell r="T114">
            <v>-34381.641498170284</v>
          </cell>
          <cell r="U114">
            <v>-35413.894960227546</v>
          </cell>
          <cell r="V114">
            <v>-36285.663846837939</v>
          </cell>
          <cell r="W114">
            <v>-37682.930387055087</v>
          </cell>
          <cell r="X114">
            <v>-38912.524942446173</v>
          </cell>
          <cell r="Y114">
            <v>-39994.568151190251</v>
          </cell>
          <cell r="Z114">
            <v>-40946.76617488511</v>
          </cell>
        </row>
        <row r="116">
          <cell r="E116" t="str">
            <v>Cash and Cash Equivalents - BoP</v>
          </cell>
          <cell r="F116" t="str">
            <v>[R$'000]</v>
          </cell>
          <cell r="M116">
            <v>0</v>
          </cell>
          <cell r="N116">
            <v>23181.175482219089</v>
          </cell>
          <cell r="O116">
            <v>34807.19869286161</v>
          </cell>
          <cell r="P116">
            <v>51078.687656414848</v>
          </cell>
          <cell r="Q116">
            <v>67493.396564529728</v>
          </cell>
          <cell r="R116">
            <v>81962.830492047506</v>
          </cell>
          <cell r="S116">
            <v>95191.93386600021</v>
          </cell>
          <cell r="T116">
            <v>107353.54483507859</v>
          </cell>
          <cell r="U116">
            <v>118695.76248786756</v>
          </cell>
          <cell r="V116">
            <v>129436.91402232186</v>
          </cell>
          <cell r="W116">
            <v>139769.12737264164</v>
          </cell>
          <cell r="X116">
            <v>148861.47512092305</v>
          </cell>
          <cell r="Y116">
            <v>156862.74113941067</v>
          </cell>
          <cell r="Z116">
            <v>163903.8552356798</v>
          </cell>
        </row>
        <row r="117">
          <cell r="E117" t="str">
            <v>Cash Flow</v>
          </cell>
          <cell r="F117" t="str">
            <v>[R$'000]</v>
          </cell>
          <cell r="M117">
            <v>23181.175482219089</v>
          </cell>
          <cell r="N117">
            <v>11626.023210642525</v>
          </cell>
          <cell r="O117">
            <v>16271.488963553238</v>
          </cell>
          <cell r="P117">
            <v>16414.708908114881</v>
          </cell>
          <cell r="Q117">
            <v>14469.433927517784</v>
          </cell>
          <cell r="R117">
            <v>13229.103373952705</v>
          </cell>
          <cell r="S117">
            <v>12161.610969078385</v>
          </cell>
          <cell r="T117">
            <v>11342.217652788975</v>
          </cell>
          <cell r="U117">
            <v>10741.1515344543</v>
          </cell>
          <cell r="V117">
            <v>10332.213350319784</v>
          </cell>
          <cell r="W117">
            <v>9092.3477482814124</v>
          </cell>
          <cell r="X117">
            <v>8001.2660184876368</v>
          </cell>
          <cell r="Y117">
            <v>7041.1140962691279</v>
          </cell>
          <cell r="Z117">
            <v>6196.1804047168262</v>
          </cell>
        </row>
        <row r="118">
          <cell r="E118" t="str">
            <v>Cash and Cash Equivalents - EoP</v>
          </cell>
          <cell r="F118" t="str">
            <v>[R$'000]</v>
          </cell>
          <cell r="L118">
            <v>0</v>
          </cell>
          <cell r="M118">
            <v>23181.175482219089</v>
          </cell>
          <cell r="N118">
            <v>34807.19869286161</v>
          </cell>
          <cell r="O118">
            <v>51078.687656414848</v>
          </cell>
          <cell r="P118">
            <v>67493.396564529728</v>
          </cell>
          <cell r="Q118">
            <v>81962.830492047506</v>
          </cell>
          <cell r="R118">
            <v>95191.93386600021</v>
          </cell>
          <cell r="S118">
            <v>107353.54483507859</v>
          </cell>
          <cell r="T118">
            <v>118695.76248786756</v>
          </cell>
          <cell r="U118">
            <v>129436.91402232186</v>
          </cell>
          <cell r="V118">
            <v>139769.12737264164</v>
          </cell>
          <cell r="W118">
            <v>148861.47512092305</v>
          </cell>
          <cell r="X118">
            <v>156862.74113941067</v>
          </cell>
          <cell r="Y118">
            <v>163903.8552356798</v>
          </cell>
          <cell r="Z118">
            <v>170100.03564039664</v>
          </cell>
        </row>
        <row r="121">
          <cell r="B121">
            <v>5</v>
          </cell>
          <cell r="E121" t="str">
            <v xml:space="preserve">Revenues Build-up </v>
          </cell>
          <cell r="J121">
            <v>2014</v>
          </cell>
          <cell r="K121">
            <v>2015</v>
          </cell>
          <cell r="L121">
            <v>2016</v>
          </cell>
          <cell r="M121">
            <v>2017</v>
          </cell>
          <cell r="N121">
            <v>2018</v>
          </cell>
          <cell r="O121">
            <v>2019</v>
          </cell>
          <cell r="P121">
            <v>2020</v>
          </cell>
          <cell r="Q121">
            <v>2021</v>
          </cell>
          <cell r="R121">
            <v>2022</v>
          </cell>
          <cell r="S121">
            <v>2023</v>
          </cell>
          <cell r="T121">
            <v>2024</v>
          </cell>
          <cell r="U121">
            <v>2025</v>
          </cell>
          <cell r="V121">
            <v>2026</v>
          </cell>
          <cell r="W121">
            <v>2027</v>
          </cell>
          <cell r="X121">
            <v>2028</v>
          </cell>
          <cell r="Y121">
            <v>2029</v>
          </cell>
          <cell r="Z121">
            <v>2030</v>
          </cell>
        </row>
        <row r="123">
          <cell r="E123" t="str">
            <v>Net Revenues</v>
          </cell>
          <cell r="F123" t="str">
            <v>[R$'000]</v>
          </cell>
          <cell r="J123">
            <v>283176.48377193388</v>
          </cell>
          <cell r="K123">
            <v>200147.82396793962</v>
          </cell>
          <cell r="L123">
            <v>197785.92729400255</v>
          </cell>
          <cell r="M123">
            <v>348652.42757823074</v>
          </cell>
          <cell r="N123">
            <v>340300.32615027291</v>
          </cell>
          <cell r="O123">
            <v>362687.48955508007</v>
          </cell>
          <cell r="P123">
            <v>360753.68525075034</v>
          </cell>
          <cell r="Q123">
            <v>362021.62405532325</v>
          </cell>
          <cell r="R123">
            <v>362021.62405532325</v>
          </cell>
          <cell r="S123">
            <v>362021.62405532325</v>
          </cell>
          <cell r="T123">
            <v>362021.62405532325</v>
          </cell>
          <cell r="U123">
            <v>362021.62405532325</v>
          </cell>
          <cell r="V123">
            <v>362021.62405532325</v>
          </cell>
          <cell r="W123">
            <v>362021.62405532325</v>
          </cell>
          <cell r="X123">
            <v>362021.62405532325</v>
          </cell>
          <cell r="Y123">
            <v>362021.62405532313</v>
          </cell>
          <cell r="Z123">
            <v>362021.62405532313</v>
          </cell>
        </row>
        <row r="124">
          <cell r="E124" t="str">
            <v>Price Growth</v>
          </cell>
          <cell r="J124" t="str">
            <v xml:space="preserve">n.a. </v>
          </cell>
          <cell r="K124">
            <v>-0.29320464290694526</v>
          </cell>
          <cell r="L124">
            <v>-1.1800761192964027E-2</v>
          </cell>
          <cell r="M124">
            <v>0.76277671697021132</v>
          </cell>
          <cell r="N124">
            <v>-2.3955380107266833E-2</v>
          </cell>
          <cell r="O124">
            <v>6.5786488241334373E-2</v>
          </cell>
          <cell r="P124">
            <v>-5.3318748509963987E-3</v>
          </cell>
          <cell r="Q124">
            <v>3.5146939765606788E-3</v>
          </cell>
          <cell r="R124">
            <v>0</v>
          </cell>
          <cell r="S124">
            <v>0</v>
          </cell>
          <cell r="T124">
            <v>0</v>
          </cell>
          <cell r="U124">
            <v>0</v>
          </cell>
          <cell r="V124">
            <v>0</v>
          </cell>
          <cell r="W124">
            <v>0</v>
          </cell>
          <cell r="X124">
            <v>0</v>
          </cell>
          <cell r="Y124">
            <v>-3.3306690738754696E-16</v>
          </cell>
          <cell r="Z124">
            <v>0</v>
          </cell>
        </row>
        <row r="126">
          <cell r="E126" t="str">
            <v>Volume of Pellerts</v>
          </cell>
          <cell r="F126" t="str">
            <v>[ '000 t ]</v>
          </cell>
          <cell r="J126">
            <v>1015.91279516</v>
          </cell>
          <cell r="K126">
            <v>890.05642199999988</v>
          </cell>
          <cell r="L126">
            <v>865.42923851800015</v>
          </cell>
          <cell r="M126">
            <v>1160.6632199999999</v>
          </cell>
          <cell r="N126">
            <v>1277.2031999999999</v>
          </cell>
          <cell r="O126">
            <v>1360.6320000000001</v>
          </cell>
          <cell r="P126">
            <v>1360.6320000000001</v>
          </cell>
          <cell r="Q126">
            <v>1360.6320000000001</v>
          </cell>
          <cell r="R126">
            <v>1360.6320000000001</v>
          </cell>
          <cell r="S126">
            <v>1360.6320000000001</v>
          </cell>
          <cell r="T126">
            <v>1360.6320000000001</v>
          </cell>
          <cell r="U126">
            <v>1360.6320000000001</v>
          </cell>
          <cell r="V126">
            <v>1360.6320000000001</v>
          </cell>
          <cell r="W126">
            <v>1360.6320000000001</v>
          </cell>
          <cell r="X126">
            <v>1360.6320000000001</v>
          </cell>
          <cell r="Y126">
            <v>1360.6320000000001</v>
          </cell>
          <cell r="Z126">
            <v>1360.6320000000001</v>
          </cell>
        </row>
        <row r="128">
          <cell r="E128" t="str">
            <v>(x) Average net sale price</v>
          </cell>
          <cell r="F128" t="str">
            <v>[R$/t]</v>
          </cell>
          <cell r="J128">
            <v>278.740936349104</v>
          </cell>
          <cell r="K128">
            <v>224.87093966267639</v>
          </cell>
          <cell r="L128">
            <v>228.54084249880447</v>
          </cell>
          <cell r="M128">
            <v>300.39069177899063</v>
          </cell>
          <cell r="N128">
            <v>266.44180514915161</v>
          </cell>
          <cell r="O128">
            <v>266.55810649395283</v>
          </cell>
          <cell r="P128">
            <v>265.13685202960852</v>
          </cell>
          <cell r="Q128">
            <v>266.06872692640127</v>
          </cell>
          <cell r="R128">
            <v>266.06872692640127</v>
          </cell>
          <cell r="S128">
            <v>266.06872692640127</v>
          </cell>
          <cell r="T128">
            <v>266.06872692640127</v>
          </cell>
          <cell r="U128">
            <v>266.06872692640127</v>
          </cell>
          <cell r="V128">
            <v>266.06872692640127</v>
          </cell>
          <cell r="W128">
            <v>266.06872692640127</v>
          </cell>
          <cell r="X128">
            <v>266.06872692640127</v>
          </cell>
          <cell r="Y128">
            <v>266.06872692640121</v>
          </cell>
          <cell r="Z128">
            <v>266.06872692640121</v>
          </cell>
        </row>
        <row r="130">
          <cell r="B130">
            <v>6</v>
          </cell>
          <cell r="E130" t="str">
            <v>COGS</v>
          </cell>
          <cell r="J130">
            <v>2014</v>
          </cell>
          <cell r="K130">
            <v>2015</v>
          </cell>
          <cell r="L130">
            <v>2016</v>
          </cell>
          <cell r="M130">
            <v>2017</v>
          </cell>
          <cell r="N130">
            <v>2018</v>
          </cell>
          <cell r="O130">
            <v>2019</v>
          </cell>
          <cell r="P130">
            <v>2020</v>
          </cell>
          <cell r="Q130">
            <v>2021</v>
          </cell>
          <cell r="R130">
            <v>2022</v>
          </cell>
          <cell r="S130">
            <v>2023</v>
          </cell>
          <cell r="T130">
            <v>2024</v>
          </cell>
          <cell r="U130">
            <v>2025</v>
          </cell>
          <cell r="V130">
            <v>2026</v>
          </cell>
          <cell r="W130">
            <v>2027</v>
          </cell>
          <cell r="X130">
            <v>2028</v>
          </cell>
          <cell r="Y130">
            <v>2029</v>
          </cell>
          <cell r="Z130">
            <v>2030</v>
          </cell>
        </row>
        <row r="132">
          <cell r="E132" t="str">
            <v>COGS</v>
          </cell>
          <cell r="F132" t="str">
            <v>[R$ '000]</v>
          </cell>
          <cell r="J132">
            <v>-266471.77256578067</v>
          </cell>
          <cell r="K132">
            <v>-186242.99842999998</v>
          </cell>
          <cell r="L132">
            <v>-197363.90479664566</v>
          </cell>
          <cell r="M132">
            <v>-275528.90027444827</v>
          </cell>
          <cell r="N132">
            <v>-283526.2060079996</v>
          </cell>
          <cell r="O132">
            <v>-295230.83330446895</v>
          </cell>
          <cell r="P132">
            <v>-294720.5291787429</v>
          </cell>
          <cell r="Q132">
            <v>-295055.1206375027</v>
          </cell>
          <cell r="R132">
            <v>-295055.1206375027</v>
          </cell>
          <cell r="S132">
            <v>-295055.1206375027</v>
          </cell>
          <cell r="T132">
            <v>-295055.1206375027</v>
          </cell>
          <cell r="U132">
            <v>-295055.1206375027</v>
          </cell>
          <cell r="V132">
            <v>-295055.1206375027</v>
          </cell>
          <cell r="W132">
            <v>-295055.1206375027</v>
          </cell>
          <cell r="X132">
            <v>-295055.1206375027</v>
          </cell>
          <cell r="Y132">
            <v>-295055.1206375027</v>
          </cell>
          <cell r="Z132">
            <v>-295055.1206375027</v>
          </cell>
        </row>
        <row r="133">
          <cell r="E133" t="str">
            <v>Varialbe Costs</v>
          </cell>
          <cell r="F133" t="str">
            <v>[R$ '000]</v>
          </cell>
          <cell r="J133">
            <v>-177680.30814638044</v>
          </cell>
          <cell r="K133">
            <v>-117839.57469289949</v>
          </cell>
          <cell r="L133">
            <v>-147143.28040764565</v>
          </cell>
          <cell r="M133">
            <v>-223699.62673354827</v>
          </cell>
          <cell r="N133">
            <v>-231696.93246709963</v>
          </cell>
          <cell r="O133">
            <v>-243401.55976356895</v>
          </cell>
          <cell r="P133">
            <v>-242891.25563784287</v>
          </cell>
          <cell r="Q133">
            <v>-243225.84709660269</v>
          </cell>
          <cell r="R133">
            <v>-243225.84709660269</v>
          </cell>
          <cell r="S133">
            <v>-243225.84709660269</v>
          </cell>
          <cell r="T133">
            <v>-243225.84709660269</v>
          </cell>
          <cell r="U133">
            <v>-243225.84709660269</v>
          </cell>
          <cell r="V133">
            <v>-243225.84709660269</v>
          </cell>
          <cell r="W133">
            <v>-243225.84709660269</v>
          </cell>
          <cell r="X133">
            <v>-243225.84709660269</v>
          </cell>
          <cell r="Y133">
            <v>-243225.84709660269</v>
          </cell>
          <cell r="Z133">
            <v>-243225.84709660269</v>
          </cell>
        </row>
        <row r="134">
          <cell r="E134" t="str">
            <v>Fixed costs</v>
          </cell>
          <cell r="F134" t="str">
            <v>[R$ '000]</v>
          </cell>
          <cell r="J134">
            <v>-88791.464419400232</v>
          </cell>
          <cell r="K134">
            <v>-68403.4237371005</v>
          </cell>
          <cell r="L134">
            <v>-50220.624389000004</v>
          </cell>
          <cell r="M134">
            <v>-51829.273540900002</v>
          </cell>
          <cell r="N134">
            <v>-51829.273540900002</v>
          </cell>
          <cell r="O134">
            <v>-51829.273540900002</v>
          </cell>
          <cell r="P134">
            <v>-51829.273540900002</v>
          </cell>
          <cell r="Q134">
            <v>-51829.273540900002</v>
          </cell>
          <cell r="R134">
            <v>-51829.273540900002</v>
          </cell>
          <cell r="S134">
            <v>-51829.273540900002</v>
          </cell>
          <cell r="T134">
            <v>-51829.273540900002</v>
          </cell>
          <cell r="U134">
            <v>-51829.273540900002</v>
          </cell>
          <cell r="V134">
            <v>-51829.273540900002</v>
          </cell>
          <cell r="W134">
            <v>-51829.273540900002</v>
          </cell>
          <cell r="X134">
            <v>-51829.273540900002</v>
          </cell>
          <cell r="Y134">
            <v>-51829.273540900002</v>
          </cell>
          <cell r="Z134">
            <v>-51829.273540900002</v>
          </cell>
        </row>
        <row r="137">
          <cell r="E137" t="str">
            <v>Varialbe Costs</v>
          </cell>
          <cell r="F137" t="str">
            <v>[R$ '000]</v>
          </cell>
          <cell r="J137">
            <v>-177680.30814638044</v>
          </cell>
          <cell r="K137">
            <v>-117839.57469289949</v>
          </cell>
          <cell r="L137">
            <v>-147143.28040764565</v>
          </cell>
          <cell r="M137">
            <v>-223699.62673354827</v>
          </cell>
          <cell r="N137">
            <v>-231696.93246709963</v>
          </cell>
          <cell r="O137">
            <v>-243401.55976356895</v>
          </cell>
          <cell r="P137">
            <v>-242891.25563784287</v>
          </cell>
          <cell r="Q137">
            <v>-243225.84709660269</v>
          </cell>
          <cell r="R137">
            <v>-243225.84709660269</v>
          </cell>
          <cell r="S137">
            <v>-243225.84709660269</v>
          </cell>
          <cell r="T137">
            <v>-243225.84709660269</v>
          </cell>
          <cell r="U137">
            <v>-243225.84709660269</v>
          </cell>
          <cell r="V137">
            <v>-243225.84709660269</v>
          </cell>
          <cell r="W137">
            <v>-243225.84709660269</v>
          </cell>
          <cell r="X137">
            <v>-243225.84709660269</v>
          </cell>
          <cell r="Y137">
            <v>-243225.84709660269</v>
          </cell>
          <cell r="Z137">
            <v>-243225.84709660269</v>
          </cell>
        </row>
        <row r="138">
          <cell r="E138" t="str">
            <v>Raw material and WIP</v>
          </cell>
          <cell r="F138" t="str">
            <v>[R$ '000]</v>
          </cell>
          <cell r="J138">
            <v>-135113.17842578067</v>
          </cell>
          <cell r="K138">
            <v>-85697.000379999998</v>
          </cell>
          <cell r="L138">
            <v>-78340.005986645643</v>
          </cell>
          <cell r="M138">
            <v>-141438.46970444827</v>
          </cell>
          <cell r="N138">
            <v>-144164.29096358886</v>
          </cell>
          <cell r="O138">
            <v>-152095.16075710751</v>
          </cell>
          <cell r="P138">
            <v>-151584.85663138144</v>
          </cell>
          <cell r="Q138">
            <v>-151919.44809014126</v>
          </cell>
          <cell r="R138">
            <v>-151919.44809014126</v>
          </cell>
          <cell r="S138">
            <v>-151919.44809014126</v>
          </cell>
          <cell r="T138">
            <v>-151919.44809014126</v>
          </cell>
          <cell r="U138">
            <v>-151919.44809014126</v>
          </cell>
          <cell r="V138">
            <v>-151919.44809014126</v>
          </cell>
          <cell r="W138">
            <v>-151919.44809014126</v>
          </cell>
          <cell r="X138">
            <v>-151919.44809014126</v>
          </cell>
          <cell r="Y138">
            <v>-151919.44809014126</v>
          </cell>
          <cell r="Z138">
            <v>-151919.44809014126</v>
          </cell>
        </row>
        <row r="139">
          <cell r="E139" t="str">
            <v>Direct Production Costs</v>
          </cell>
          <cell r="F139" t="str">
            <v>[R$ '000]</v>
          </cell>
          <cell r="J139">
            <v>-10259.01257999999</v>
          </cell>
          <cell r="K139">
            <v>-4879.7767100000056</v>
          </cell>
          <cell r="L139">
            <v>-9490.8350200000004</v>
          </cell>
          <cell r="M139">
            <v>-10296.552160000001</v>
          </cell>
          <cell r="N139">
            <v>-10861.414229005635</v>
          </cell>
          <cell r="O139">
            <v>-11265.788458198549</v>
          </cell>
          <cell r="P139">
            <v>-11265.788458198549</v>
          </cell>
          <cell r="Q139">
            <v>-11265.788458198549</v>
          </cell>
          <cell r="R139">
            <v>-11265.788458198549</v>
          </cell>
          <cell r="S139">
            <v>-11265.788458198549</v>
          </cell>
          <cell r="T139">
            <v>-11265.788458198549</v>
          </cell>
          <cell r="U139">
            <v>-11265.788458198549</v>
          </cell>
          <cell r="V139">
            <v>-11265.788458198549</v>
          </cell>
          <cell r="W139">
            <v>-11265.788458198549</v>
          </cell>
          <cell r="X139">
            <v>-11265.788458198549</v>
          </cell>
          <cell r="Y139">
            <v>-11265.788458198549</v>
          </cell>
          <cell r="Z139">
            <v>-11265.788458198549</v>
          </cell>
        </row>
        <row r="140">
          <cell r="E140" t="str">
            <v>Manufacturing Auxillaries</v>
          </cell>
          <cell r="F140" t="str">
            <v>[R$ '000]</v>
          </cell>
          <cell r="J140">
            <v>-3146.8459600000006</v>
          </cell>
          <cell r="K140">
            <v>-4550.8781900000022</v>
          </cell>
          <cell r="L140">
            <v>-30322.227119999996</v>
          </cell>
          <cell r="M140">
            <v>-44174.207540000003</v>
          </cell>
          <cell r="N140">
            <v>-46303.222540879571</v>
          </cell>
          <cell r="O140">
            <v>-47827.344706555064</v>
          </cell>
          <cell r="P140">
            <v>-47827.344706555064</v>
          </cell>
          <cell r="Q140">
            <v>-47827.344706555064</v>
          </cell>
          <cell r="R140">
            <v>-47827.344706555064</v>
          </cell>
          <cell r="S140">
            <v>-47827.344706555064</v>
          </cell>
          <cell r="T140">
            <v>-47827.344706555064</v>
          </cell>
          <cell r="U140">
            <v>-47827.344706555064</v>
          </cell>
          <cell r="V140">
            <v>-47827.344706555064</v>
          </cell>
          <cell r="W140">
            <v>-47827.344706555064</v>
          </cell>
          <cell r="X140">
            <v>-47827.344706555064</v>
          </cell>
          <cell r="Y140">
            <v>-47827.344706555064</v>
          </cell>
          <cell r="Z140">
            <v>-47827.344706555064</v>
          </cell>
        </row>
        <row r="141">
          <cell r="E141" t="str">
            <v>Variable Maintenance</v>
          </cell>
          <cell r="F141" t="str">
            <v>[R$ '000]</v>
          </cell>
          <cell r="J141">
            <v>-12762.968451400175</v>
          </cell>
          <cell r="K141">
            <v>-7829.2051383005</v>
          </cell>
          <cell r="L141">
            <v>-7416.6054887999999</v>
          </cell>
          <cell r="M141">
            <v>-12081.068833199999</v>
          </cell>
          <cell r="N141">
            <v>-13081.33252838875</v>
          </cell>
          <cell r="O141">
            <v>-13797.402668208264</v>
          </cell>
          <cell r="P141">
            <v>-13797.402668208264</v>
          </cell>
          <cell r="Q141">
            <v>-13797.402668208264</v>
          </cell>
          <cell r="R141">
            <v>-13797.402668208264</v>
          </cell>
          <cell r="S141">
            <v>-13797.402668208264</v>
          </cell>
          <cell r="T141">
            <v>-13797.402668208264</v>
          </cell>
          <cell r="U141">
            <v>-13797.402668208264</v>
          </cell>
          <cell r="V141">
            <v>-13797.402668208264</v>
          </cell>
          <cell r="W141">
            <v>-13797.402668208264</v>
          </cell>
          <cell r="X141">
            <v>-13797.402668208264</v>
          </cell>
          <cell r="Y141">
            <v>-13797.402668208264</v>
          </cell>
          <cell r="Z141">
            <v>-13797.402668208264</v>
          </cell>
        </row>
        <row r="142">
          <cell r="E142" t="str">
            <v>Variable Energy</v>
          </cell>
          <cell r="F142" t="str">
            <v>[R$ '000]</v>
          </cell>
          <cell r="J142">
            <v>-16398.3027291996</v>
          </cell>
          <cell r="K142">
            <v>-14882.71427459898</v>
          </cell>
          <cell r="L142">
            <v>-21573.606792200004</v>
          </cell>
          <cell r="M142">
            <v>-15709.328495899998</v>
          </cell>
          <cell r="N142">
            <v>-17286.672205236817</v>
          </cell>
          <cell r="O142">
            <v>-18415.863173499551</v>
          </cell>
          <cell r="P142">
            <v>-18415.863173499551</v>
          </cell>
          <cell r="Q142">
            <v>-18415.863173499551</v>
          </cell>
          <cell r="R142">
            <v>-18415.863173499551</v>
          </cell>
          <cell r="S142">
            <v>-18415.863173499551</v>
          </cell>
          <cell r="T142">
            <v>-18415.863173499551</v>
          </cell>
          <cell r="U142">
            <v>-18415.863173499551</v>
          </cell>
          <cell r="V142">
            <v>-18415.863173499551</v>
          </cell>
          <cell r="W142">
            <v>-18415.863173499551</v>
          </cell>
          <cell r="X142">
            <v>-18415.863173499551</v>
          </cell>
          <cell r="Y142">
            <v>-18415.863173499551</v>
          </cell>
          <cell r="Z142">
            <v>-18415.863173499551</v>
          </cell>
        </row>
        <row r="144">
          <cell r="E144" t="str">
            <v>Raw material and WIP</v>
          </cell>
          <cell r="F144" t="str">
            <v>[R$ '000]</v>
          </cell>
          <cell r="J144">
            <v>-135113.17842578067</v>
          </cell>
          <cell r="K144">
            <v>-85697.000379999998</v>
          </cell>
          <cell r="L144">
            <v>-78340.005986645643</v>
          </cell>
          <cell r="M144">
            <v>-141438.46970444827</v>
          </cell>
          <cell r="N144">
            <v>-144164.29096358886</v>
          </cell>
          <cell r="O144">
            <v>-152095.16075710751</v>
          </cell>
          <cell r="P144">
            <v>-151584.85663138144</v>
          </cell>
          <cell r="Q144">
            <v>-151919.44809014126</v>
          </cell>
          <cell r="R144">
            <v>-151919.44809014126</v>
          </cell>
          <cell r="S144">
            <v>-151919.44809014126</v>
          </cell>
          <cell r="T144">
            <v>-151919.44809014126</v>
          </cell>
          <cell r="U144">
            <v>-151919.44809014126</v>
          </cell>
          <cell r="V144">
            <v>-151919.44809014126</v>
          </cell>
          <cell r="W144">
            <v>-151919.44809014126</v>
          </cell>
          <cell r="X144">
            <v>-151919.44809014126</v>
          </cell>
          <cell r="Y144">
            <v>-151919.44809014126</v>
          </cell>
          <cell r="Z144">
            <v>-151919.44809014126</v>
          </cell>
        </row>
        <row r="146">
          <cell r="E146" t="str">
            <v>Changes in inventories of raw materials</v>
          </cell>
          <cell r="F146" t="str">
            <v>[R$ '000]</v>
          </cell>
          <cell r="J146">
            <v>0</v>
          </cell>
          <cell r="K146">
            <v>0</v>
          </cell>
          <cell r="L146">
            <v>3391.2465325167004</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row>
        <row r="148">
          <cell r="E148" t="str">
            <v>Var.  finished goods and WIP- non raw material part</v>
          </cell>
          <cell r="F148" t="str">
            <v>[R$ '000]</v>
          </cell>
          <cell r="J148">
            <v>-11263.91538</v>
          </cell>
          <cell r="K148">
            <v>1963.4308799999981</v>
          </cell>
          <cell r="L148">
            <v>6396.3216800000009</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row>
        <row r="150">
          <cell r="E150" t="str">
            <v>Purchases of raw materials</v>
          </cell>
          <cell r="F150" t="str">
            <v>[R$ '000]</v>
          </cell>
          <cell r="J150">
            <v>-123849.26304578068</v>
          </cell>
          <cell r="K150">
            <v>-87660.431259999998</v>
          </cell>
          <cell r="L150">
            <v>-88127.574199162351</v>
          </cell>
          <cell r="M150">
            <v>-141438.46970444827</v>
          </cell>
          <cell r="N150">
            <v>-144164.29096358886</v>
          </cell>
          <cell r="O150">
            <v>-152095.16075710751</v>
          </cell>
          <cell r="P150">
            <v>-151584.85663138144</v>
          </cell>
          <cell r="Q150">
            <v>-151919.44809014126</v>
          </cell>
          <cell r="R150">
            <v>-151919.44809014126</v>
          </cell>
          <cell r="S150">
            <v>-151919.44809014126</v>
          </cell>
          <cell r="T150">
            <v>-151919.44809014126</v>
          </cell>
          <cell r="U150">
            <v>-151919.44809014126</v>
          </cell>
          <cell r="V150">
            <v>-151919.44809014126</v>
          </cell>
          <cell r="W150">
            <v>-151919.44809014126</v>
          </cell>
          <cell r="X150">
            <v>-151919.44809014126</v>
          </cell>
          <cell r="Y150">
            <v>-151919.44809014126</v>
          </cell>
          <cell r="Z150">
            <v>-151919.44809014126</v>
          </cell>
        </row>
        <row r="152">
          <cell r="E152" t="str">
            <v xml:space="preserve">Pellet Feed </v>
          </cell>
          <cell r="F152" t="str">
            <v>[R$ '000]</v>
          </cell>
          <cell r="J152">
            <v>-117963.83257620389</v>
          </cell>
          <cell r="K152">
            <v>-79438.85759</v>
          </cell>
          <cell r="L152">
            <v>-77242.278260000006</v>
          </cell>
          <cell r="M152">
            <v>-123252.01872962165</v>
          </cell>
          <cell r="N152">
            <v>-123014.12849510289</v>
          </cell>
          <cell r="O152">
            <v>-128792.23566393016</v>
          </cell>
          <cell r="P152">
            <v>-128281.93153820408</v>
          </cell>
          <cell r="Q152">
            <v>-128616.52299696392</v>
          </cell>
          <cell r="R152">
            <v>-128616.52299696392</v>
          </cell>
          <cell r="S152">
            <v>-128616.52299696392</v>
          </cell>
          <cell r="T152">
            <v>-128616.52299696392</v>
          </cell>
          <cell r="U152">
            <v>-128616.52299696392</v>
          </cell>
          <cell r="V152">
            <v>-128616.52299696392</v>
          </cell>
          <cell r="W152">
            <v>-128616.52299696392</v>
          </cell>
          <cell r="X152">
            <v>-128616.52299696392</v>
          </cell>
          <cell r="Y152">
            <v>-128616.5229969639</v>
          </cell>
          <cell r="Z152">
            <v>-128616.5229969639</v>
          </cell>
        </row>
        <row r="154">
          <cell r="E154" t="str">
            <v>Consumption</v>
          </cell>
          <cell r="F154" t="str">
            <v>[t]</v>
          </cell>
          <cell r="J154">
            <v>1196699.673</v>
          </cell>
          <cell r="K154">
            <v>1049409.3640000001</v>
          </cell>
          <cell r="L154">
            <v>1025253.5050000001</v>
          </cell>
          <cell r="M154">
            <v>1332658.3250000002</v>
          </cell>
          <cell r="N154">
            <v>1456011.6479999998</v>
          </cell>
          <cell r="O154">
            <v>1523907.84</v>
          </cell>
          <cell r="P154">
            <v>1523907.84</v>
          </cell>
          <cell r="Q154">
            <v>1523907.84</v>
          </cell>
          <cell r="R154">
            <v>1523907.84</v>
          </cell>
          <cell r="S154">
            <v>1523907.84</v>
          </cell>
          <cell r="T154">
            <v>1523907.84</v>
          </cell>
          <cell r="U154">
            <v>1523907.84</v>
          </cell>
          <cell r="V154">
            <v>1523907.84</v>
          </cell>
          <cell r="W154">
            <v>1523907.84</v>
          </cell>
          <cell r="X154">
            <v>1523907.84</v>
          </cell>
          <cell r="Y154">
            <v>1523907.84</v>
          </cell>
          <cell r="Z154">
            <v>1523907.84</v>
          </cell>
        </row>
        <row r="155">
          <cell r="E155" t="str">
            <v>Specific Consumption</v>
          </cell>
          <cell r="F155" t="str">
            <v>[unit/ton]</v>
          </cell>
          <cell r="J155">
            <v>1177.9551145544212</v>
          </cell>
          <cell r="K155">
            <v>1179.0368993034469</v>
          </cell>
          <cell r="L155">
            <v>1184.6762963031965</v>
          </cell>
          <cell r="M155">
            <v>1148.1869176486873</v>
          </cell>
          <cell r="N155">
            <v>1140</v>
          </cell>
          <cell r="O155">
            <v>1120</v>
          </cell>
          <cell r="P155">
            <v>1120</v>
          </cell>
          <cell r="Q155">
            <v>1120</v>
          </cell>
          <cell r="R155">
            <v>1120</v>
          </cell>
          <cell r="S155">
            <v>1120</v>
          </cell>
          <cell r="T155">
            <v>1120</v>
          </cell>
          <cell r="U155">
            <v>1120</v>
          </cell>
          <cell r="V155">
            <v>1120</v>
          </cell>
          <cell r="W155">
            <v>1120</v>
          </cell>
          <cell r="X155">
            <v>1120</v>
          </cell>
          <cell r="Y155">
            <v>1120</v>
          </cell>
          <cell r="Z155">
            <v>1120</v>
          </cell>
        </row>
        <row r="157">
          <cell r="E157" t="str">
            <v>Price</v>
          </cell>
          <cell r="F157" t="str">
            <v>[R$ /unit]</v>
          </cell>
          <cell r="J157">
            <v>98.574299999999994</v>
          </cell>
          <cell r="K157">
            <v>75.698636123471829</v>
          </cell>
          <cell r="L157">
            <v>75.339687095241871</v>
          </cell>
          <cell r="M157">
            <v>92.485835579514827</v>
          </cell>
          <cell r="N157">
            <v>84.487049718370741</v>
          </cell>
          <cell r="O157">
            <v>84.514451782025191</v>
          </cell>
          <cell r="P157">
            <v>84.179586305038015</v>
          </cell>
          <cell r="Q157">
            <v>84.399147783742563</v>
          </cell>
          <cell r="R157">
            <v>84.399147783742563</v>
          </cell>
          <cell r="S157">
            <v>84.399147783742563</v>
          </cell>
          <cell r="T157">
            <v>84.399147783742563</v>
          </cell>
          <cell r="U157">
            <v>84.399147783742563</v>
          </cell>
          <cell r="V157">
            <v>84.399147783742563</v>
          </cell>
          <cell r="W157">
            <v>84.399147783742563</v>
          </cell>
          <cell r="X157">
            <v>84.399147783742563</v>
          </cell>
          <cell r="Y157">
            <v>84.399147783742549</v>
          </cell>
          <cell r="Z157">
            <v>84.399147783742549</v>
          </cell>
        </row>
        <row r="159">
          <cell r="E159" t="str">
            <v>Others</v>
          </cell>
          <cell r="F159" t="str">
            <v>[R$ '000]</v>
          </cell>
          <cell r="J159">
            <v>-5885.4304695767996</v>
          </cell>
          <cell r="K159">
            <v>-8221.5736699999979</v>
          </cell>
          <cell r="L159">
            <v>-10885.295939162348</v>
          </cell>
          <cell r="M159">
            <v>-18186.450974826628</v>
          </cell>
          <cell r="N159">
            <v>-21150.162468485982</v>
          </cell>
          <cell r="O159">
            <v>-23302.925093177346</v>
          </cell>
          <cell r="P159">
            <v>-23302.925093177346</v>
          </cell>
          <cell r="Q159">
            <v>-23302.925093177346</v>
          </cell>
          <cell r="R159">
            <v>-23302.925093177346</v>
          </cell>
          <cell r="S159">
            <v>-23302.925093177346</v>
          </cell>
          <cell r="T159">
            <v>-23302.925093177346</v>
          </cell>
          <cell r="U159">
            <v>-23302.925093177346</v>
          </cell>
          <cell r="V159">
            <v>-23302.925093177346</v>
          </cell>
          <cell r="W159">
            <v>-23302.925093177346</v>
          </cell>
          <cell r="X159">
            <v>-23302.925093177346</v>
          </cell>
          <cell r="Y159">
            <v>-23302.925093177346</v>
          </cell>
          <cell r="Z159">
            <v>-23302.925093177346</v>
          </cell>
        </row>
        <row r="161">
          <cell r="E161" t="str">
            <v>Consumption</v>
          </cell>
          <cell r="F161" t="str">
            <v>[t]</v>
          </cell>
          <cell r="L161">
            <v>65209.88325687714</v>
          </cell>
          <cell r="M161">
            <v>90967.400999999998</v>
          </cell>
          <cell r="N161">
            <v>92745.444391951562</v>
          </cell>
          <cell r="O161">
            <v>90967.400999999998</v>
          </cell>
          <cell r="P161">
            <v>90967.400999999998</v>
          </cell>
          <cell r="Q161">
            <v>90967.400999999998</v>
          </cell>
          <cell r="R161">
            <v>90967.400999999998</v>
          </cell>
          <cell r="S161">
            <v>90967.400999999998</v>
          </cell>
          <cell r="T161">
            <v>90967.400999999998</v>
          </cell>
          <cell r="U161">
            <v>90967.400999999998</v>
          </cell>
          <cell r="V161">
            <v>90967.400999999998</v>
          </cell>
          <cell r="W161">
            <v>90967.400999999998</v>
          </cell>
          <cell r="X161">
            <v>90967.400999999998</v>
          </cell>
          <cell r="Y161">
            <v>90967.400999999998</v>
          </cell>
          <cell r="Z161">
            <v>90967.400999999998</v>
          </cell>
        </row>
        <row r="162">
          <cell r="E162" t="str">
            <v>Specific Consumption</v>
          </cell>
          <cell r="F162" t="str">
            <v>[unit/ton]</v>
          </cell>
          <cell r="L162">
            <v>75.349757501312837</v>
          </cell>
          <cell r="M162">
            <v>78.375362837809234</v>
          </cell>
          <cell r="N162">
            <v>72.616044488419362</v>
          </cell>
          <cell r="O162">
            <v>66.856726139029504</v>
          </cell>
          <cell r="P162">
            <v>66.856726139029504</v>
          </cell>
          <cell r="Q162">
            <v>66.856726139029504</v>
          </cell>
          <cell r="R162">
            <v>66.856726139029504</v>
          </cell>
          <cell r="S162">
            <v>66.856726139029504</v>
          </cell>
          <cell r="T162">
            <v>66.856726139029504</v>
          </cell>
          <cell r="U162">
            <v>66.856726139029504</v>
          </cell>
          <cell r="V162">
            <v>66.856726139029504</v>
          </cell>
          <cell r="W162">
            <v>66.856726139029504</v>
          </cell>
          <cell r="X162">
            <v>66.856726139029504</v>
          </cell>
          <cell r="Y162">
            <v>66.856726139029504</v>
          </cell>
          <cell r="Z162">
            <v>66.856726139029504</v>
          </cell>
        </row>
        <row r="164">
          <cell r="E164" t="str">
            <v>Price</v>
          </cell>
          <cell r="F164" t="str">
            <v>[R$ /unit]</v>
          </cell>
          <cell r="L164">
            <v>166.92708828020125</v>
          </cell>
          <cell r="M164">
            <v>199.92272808614842</v>
          </cell>
          <cell r="N164">
            <v>228.04529761163548</v>
          </cell>
          <cell r="O164">
            <v>256.16786713712253</v>
          </cell>
          <cell r="P164">
            <v>256.16786713712253</v>
          </cell>
          <cell r="Q164">
            <v>256.16786713712253</v>
          </cell>
          <cell r="R164">
            <v>256.16786713712253</v>
          </cell>
          <cell r="S164">
            <v>256.16786713712253</v>
          </cell>
          <cell r="T164">
            <v>256.16786713712253</v>
          </cell>
          <cell r="U164">
            <v>256.16786713712253</v>
          </cell>
          <cell r="V164">
            <v>256.16786713712253</v>
          </cell>
          <cell r="W164">
            <v>256.16786713712253</v>
          </cell>
          <cell r="X164">
            <v>256.16786713712253</v>
          </cell>
          <cell r="Y164">
            <v>256.16786713712253</v>
          </cell>
          <cell r="Z164">
            <v>256.16786713712253</v>
          </cell>
        </row>
        <row r="166">
          <cell r="L166">
            <v>0</v>
          </cell>
        </row>
        <row r="167">
          <cell r="E167" t="str">
            <v>Direct Production Costs</v>
          </cell>
          <cell r="F167" t="str">
            <v>[R$ '000]</v>
          </cell>
          <cell r="J167">
            <v>-10259.01257999999</v>
          </cell>
          <cell r="K167">
            <v>-4879.7767100000056</v>
          </cell>
          <cell r="L167">
            <v>-9490.8350200000004</v>
          </cell>
          <cell r="M167">
            <v>-10296.552160000001</v>
          </cell>
          <cell r="N167">
            <v>-10861.414229005635</v>
          </cell>
          <cell r="O167">
            <v>-11265.788458198549</v>
          </cell>
          <cell r="P167">
            <v>-11265.788458198549</v>
          </cell>
          <cell r="Q167">
            <v>-11265.788458198549</v>
          </cell>
          <cell r="R167">
            <v>-11265.788458198549</v>
          </cell>
          <cell r="S167">
            <v>-11265.788458198549</v>
          </cell>
          <cell r="T167">
            <v>-11265.788458198549</v>
          </cell>
          <cell r="U167">
            <v>-11265.788458198549</v>
          </cell>
          <cell r="V167">
            <v>-11265.788458198549</v>
          </cell>
          <cell r="W167">
            <v>-11265.788458198549</v>
          </cell>
          <cell r="X167">
            <v>-11265.788458198549</v>
          </cell>
          <cell r="Y167">
            <v>-11265.788458198549</v>
          </cell>
          <cell r="Z167">
            <v>-11265.788458198549</v>
          </cell>
        </row>
        <row r="169">
          <cell r="E169" t="str">
            <v>Cost per Volume</v>
          </cell>
          <cell r="F169" t="str">
            <v>[R$/t]</v>
          </cell>
          <cell r="J169">
            <v>10.098320081089499</v>
          </cell>
          <cell r="K169">
            <v>5.48254761089742</v>
          </cell>
          <cell r="L169">
            <v>10.966621645754115</v>
          </cell>
          <cell r="M169">
            <v>8.87126599910696</v>
          </cell>
          <cell r="N169">
            <v>8.5040612402205351</v>
          </cell>
          <cell r="O169">
            <v>8.2798203027699984</v>
          </cell>
          <cell r="P169">
            <v>8.2798203027699984</v>
          </cell>
          <cell r="Q169">
            <v>8.2798203027699984</v>
          </cell>
          <cell r="R169">
            <v>8.2798203027699984</v>
          </cell>
          <cell r="S169">
            <v>8.2798203027699984</v>
          </cell>
          <cell r="T169">
            <v>8.2798203027699984</v>
          </cell>
          <cell r="U169">
            <v>8.2798203027699984</v>
          </cell>
          <cell r="V169">
            <v>8.2798203027699984</v>
          </cell>
          <cell r="W169">
            <v>8.2798203027699984</v>
          </cell>
          <cell r="X169">
            <v>8.2798203027699984</v>
          </cell>
          <cell r="Y169">
            <v>8.2798203027699984</v>
          </cell>
          <cell r="Z169">
            <v>8.2798203027699984</v>
          </cell>
        </row>
        <row r="171">
          <cell r="E171" t="str">
            <v>Volume of Pellerts</v>
          </cell>
          <cell r="F171" t="str">
            <v>[ '000 t ]</v>
          </cell>
          <cell r="J171">
            <v>1015.91279516</v>
          </cell>
          <cell r="K171">
            <v>890.05642199999988</v>
          </cell>
          <cell r="L171">
            <v>865.42923851800015</v>
          </cell>
          <cell r="M171">
            <v>1160.6632199999999</v>
          </cell>
          <cell r="N171">
            <v>1277.2031999999999</v>
          </cell>
          <cell r="O171">
            <v>1360.6320000000001</v>
          </cell>
          <cell r="P171">
            <v>1360.6320000000001</v>
          </cell>
          <cell r="Q171">
            <v>1360.6320000000001</v>
          </cell>
          <cell r="R171">
            <v>1360.6320000000001</v>
          </cell>
          <cell r="S171">
            <v>1360.6320000000001</v>
          </cell>
          <cell r="T171">
            <v>1360.6320000000001</v>
          </cell>
          <cell r="U171">
            <v>1360.6320000000001</v>
          </cell>
          <cell r="V171">
            <v>1360.6320000000001</v>
          </cell>
          <cell r="W171">
            <v>1360.6320000000001</v>
          </cell>
          <cell r="X171">
            <v>1360.6320000000001</v>
          </cell>
          <cell r="Y171">
            <v>1360.6320000000001</v>
          </cell>
          <cell r="Z171">
            <v>1360.6320000000001</v>
          </cell>
        </row>
        <row r="172">
          <cell r="L172">
            <v>0</v>
          </cell>
        </row>
        <row r="173">
          <cell r="E173" t="str">
            <v>Manufacturing Auxillaries</v>
          </cell>
          <cell r="F173" t="str">
            <v>[R$ '000]</v>
          </cell>
          <cell r="J173">
            <v>-3146.8459600000006</v>
          </cell>
          <cell r="K173">
            <v>-4550.8781900000022</v>
          </cell>
          <cell r="L173">
            <v>-30322.227119999996</v>
          </cell>
          <cell r="M173">
            <v>-44174.207540000003</v>
          </cell>
          <cell r="N173">
            <v>-46303.222540879571</v>
          </cell>
          <cell r="O173">
            <v>-47827.344706555064</v>
          </cell>
          <cell r="P173">
            <v>-47827.344706555064</v>
          </cell>
          <cell r="Q173">
            <v>-47827.344706555064</v>
          </cell>
          <cell r="R173">
            <v>-47827.344706555064</v>
          </cell>
          <cell r="S173">
            <v>-47827.344706555064</v>
          </cell>
          <cell r="T173">
            <v>-47827.344706555064</v>
          </cell>
          <cell r="U173">
            <v>-47827.344706555064</v>
          </cell>
          <cell r="V173">
            <v>-47827.344706555064</v>
          </cell>
          <cell r="W173">
            <v>-47827.344706555064</v>
          </cell>
          <cell r="X173">
            <v>-47827.344706555064</v>
          </cell>
          <cell r="Y173">
            <v>-47827.344706555064</v>
          </cell>
          <cell r="Z173">
            <v>-47827.344706555064</v>
          </cell>
        </row>
        <row r="175">
          <cell r="E175" t="str">
            <v>Cost per Volume</v>
          </cell>
          <cell r="F175" t="str">
            <v>[R$/t]</v>
          </cell>
          <cell r="J175">
            <v>3.097555198627449</v>
          </cell>
          <cell r="K175">
            <v>5.1130221382751877</v>
          </cell>
          <cell r="L175">
            <v>35.037211328710292</v>
          </cell>
          <cell r="M175">
            <v>38.059453232264914</v>
          </cell>
          <cell r="N175">
            <v>36.253606740790794</v>
          </cell>
          <cell r="O175">
            <v>35.150830427738775</v>
          </cell>
          <cell r="P175">
            <v>35.150830427738775</v>
          </cell>
          <cell r="Q175">
            <v>35.150830427738775</v>
          </cell>
          <cell r="R175">
            <v>35.150830427738775</v>
          </cell>
          <cell r="S175">
            <v>35.150830427738775</v>
          </cell>
          <cell r="T175">
            <v>35.150830427738775</v>
          </cell>
          <cell r="U175">
            <v>35.150830427738775</v>
          </cell>
          <cell r="V175">
            <v>35.150830427738775</v>
          </cell>
          <cell r="W175">
            <v>35.150830427738775</v>
          </cell>
          <cell r="X175">
            <v>35.150830427738775</v>
          </cell>
          <cell r="Y175">
            <v>35.150830427738775</v>
          </cell>
          <cell r="Z175">
            <v>35.150830427738775</v>
          </cell>
        </row>
        <row r="177">
          <cell r="E177" t="str">
            <v>Volume of Pellerts</v>
          </cell>
          <cell r="F177" t="str">
            <v>[ '000 t ]</v>
          </cell>
          <cell r="J177">
            <v>1015.91279516</v>
          </cell>
          <cell r="K177">
            <v>890.05642199999988</v>
          </cell>
          <cell r="L177">
            <v>865.42923851800015</v>
          </cell>
          <cell r="M177">
            <v>1160.6632199999999</v>
          </cell>
          <cell r="N177">
            <v>1277.2031999999999</v>
          </cell>
          <cell r="O177">
            <v>1360.6320000000001</v>
          </cell>
          <cell r="P177">
            <v>1360.6320000000001</v>
          </cell>
          <cell r="Q177">
            <v>1360.6320000000001</v>
          </cell>
          <cell r="R177">
            <v>1360.6320000000001</v>
          </cell>
          <cell r="S177">
            <v>1360.6320000000001</v>
          </cell>
          <cell r="T177">
            <v>1360.6320000000001</v>
          </cell>
          <cell r="U177">
            <v>1360.6320000000001</v>
          </cell>
          <cell r="V177">
            <v>1360.6320000000001</v>
          </cell>
          <cell r="W177">
            <v>1360.6320000000001</v>
          </cell>
          <cell r="X177">
            <v>1360.6320000000001</v>
          </cell>
          <cell r="Y177">
            <v>1360.6320000000001</v>
          </cell>
          <cell r="Z177">
            <v>1360.6320000000001</v>
          </cell>
        </row>
        <row r="178">
          <cell r="L178">
            <v>0</v>
          </cell>
        </row>
        <row r="179">
          <cell r="E179" t="str">
            <v>Variable Maintenance</v>
          </cell>
          <cell r="F179" t="str">
            <v>[R$ '000]</v>
          </cell>
          <cell r="J179">
            <v>-12762.968451400175</v>
          </cell>
          <cell r="K179">
            <v>-7829.2051383005</v>
          </cell>
          <cell r="L179">
            <v>-7416.6054887999999</v>
          </cell>
          <cell r="M179">
            <v>-12081.068833199999</v>
          </cell>
          <cell r="N179">
            <v>-13081.33252838875</v>
          </cell>
          <cell r="O179">
            <v>-13797.402668208264</v>
          </cell>
          <cell r="P179">
            <v>-13797.402668208264</v>
          </cell>
          <cell r="Q179">
            <v>-13797.402668208264</v>
          </cell>
          <cell r="R179">
            <v>-13797.402668208264</v>
          </cell>
          <cell r="S179">
            <v>-13797.402668208264</v>
          </cell>
          <cell r="T179">
            <v>-13797.402668208264</v>
          </cell>
          <cell r="U179">
            <v>-13797.402668208264</v>
          </cell>
          <cell r="V179">
            <v>-13797.402668208264</v>
          </cell>
          <cell r="W179">
            <v>-13797.402668208264</v>
          </cell>
          <cell r="X179">
            <v>-13797.402668208264</v>
          </cell>
          <cell r="Y179">
            <v>-13797.402668208264</v>
          </cell>
          <cell r="Z179">
            <v>-13797.402668208264</v>
          </cell>
        </row>
        <row r="181">
          <cell r="E181" t="str">
            <v>Cost per Volume</v>
          </cell>
          <cell r="F181" t="str">
            <v>[R$/t]</v>
          </cell>
          <cell r="J181">
            <v>12.56305512855568</v>
          </cell>
          <cell r="K181">
            <v>8.7963020599389612</v>
          </cell>
          <cell r="L181">
            <v>8.5698577754323715</v>
          </cell>
          <cell r="M181">
            <v>10.408763390641431</v>
          </cell>
          <cell r="N181">
            <v>10.242170179646239</v>
          </cell>
          <cell r="O181">
            <v>10.14043670015718</v>
          </cell>
          <cell r="P181">
            <v>10.14043670015718</v>
          </cell>
          <cell r="Q181">
            <v>10.14043670015718</v>
          </cell>
          <cell r="R181">
            <v>10.14043670015718</v>
          </cell>
          <cell r="S181">
            <v>10.14043670015718</v>
          </cell>
          <cell r="T181">
            <v>10.14043670015718</v>
          </cell>
          <cell r="U181">
            <v>10.14043670015718</v>
          </cell>
          <cell r="V181">
            <v>10.14043670015718</v>
          </cell>
          <cell r="W181">
            <v>10.14043670015718</v>
          </cell>
          <cell r="X181">
            <v>10.14043670015718</v>
          </cell>
          <cell r="Y181">
            <v>10.14043670015718</v>
          </cell>
          <cell r="Z181">
            <v>10.14043670015718</v>
          </cell>
        </row>
        <row r="183">
          <cell r="E183" t="str">
            <v>Volume of Pellerts</v>
          </cell>
          <cell r="F183" t="str">
            <v>[ '000 t ]</v>
          </cell>
          <cell r="J183">
            <v>1015.91279516</v>
          </cell>
          <cell r="K183">
            <v>890.05642199999988</v>
          </cell>
          <cell r="L183">
            <v>865.42923851800015</v>
          </cell>
          <cell r="M183">
            <v>1160.6632199999999</v>
          </cell>
          <cell r="N183">
            <v>1277.2031999999999</v>
          </cell>
          <cell r="O183">
            <v>1360.6320000000001</v>
          </cell>
          <cell r="P183">
            <v>1360.6320000000001</v>
          </cell>
          <cell r="Q183">
            <v>1360.6320000000001</v>
          </cell>
          <cell r="R183">
            <v>1360.6320000000001</v>
          </cell>
          <cell r="S183">
            <v>1360.6320000000001</v>
          </cell>
          <cell r="T183">
            <v>1360.6320000000001</v>
          </cell>
          <cell r="U183">
            <v>1360.6320000000001</v>
          </cell>
          <cell r="V183">
            <v>1360.6320000000001</v>
          </cell>
          <cell r="W183">
            <v>1360.6320000000001</v>
          </cell>
          <cell r="X183">
            <v>1360.6320000000001</v>
          </cell>
          <cell r="Y183">
            <v>1360.6320000000001</v>
          </cell>
          <cell r="Z183">
            <v>1360.6320000000001</v>
          </cell>
        </row>
        <row r="184">
          <cell r="L184">
            <v>0</v>
          </cell>
        </row>
        <row r="185">
          <cell r="E185" t="str">
            <v>Variable Energy</v>
          </cell>
          <cell r="F185" t="str">
            <v>[R$ '000]</v>
          </cell>
          <cell r="J185">
            <v>-16398.3027291996</v>
          </cell>
          <cell r="K185">
            <v>-14882.71427459898</v>
          </cell>
          <cell r="L185">
            <v>-21573.606792200004</v>
          </cell>
          <cell r="M185">
            <v>-15709.328495899998</v>
          </cell>
          <cell r="N185">
            <v>-17286.672205236817</v>
          </cell>
          <cell r="O185">
            <v>-18415.863173499551</v>
          </cell>
          <cell r="P185">
            <v>-18415.863173499551</v>
          </cell>
          <cell r="Q185">
            <v>-18415.863173499551</v>
          </cell>
          <cell r="R185">
            <v>-18415.863173499551</v>
          </cell>
          <cell r="S185">
            <v>-18415.863173499551</v>
          </cell>
          <cell r="T185">
            <v>-18415.863173499551</v>
          </cell>
          <cell r="U185">
            <v>-18415.863173499551</v>
          </cell>
          <cell r="V185">
            <v>-18415.863173499551</v>
          </cell>
          <cell r="W185">
            <v>-18415.863173499551</v>
          </cell>
          <cell r="X185">
            <v>-18415.863173499551</v>
          </cell>
          <cell r="Y185">
            <v>-18415.863173499551</v>
          </cell>
          <cell r="Z185">
            <v>-18415.863173499551</v>
          </cell>
        </row>
        <row r="187">
          <cell r="E187" t="str">
            <v>Cost per Volume</v>
          </cell>
          <cell r="F187" t="str">
            <v>[R$/t]</v>
          </cell>
          <cell r="J187">
            <v>16.141447186534322</v>
          </cell>
          <cell r="K187">
            <v>16.721090828328389</v>
          </cell>
          <cell r="L187">
            <v>24.928215770874132</v>
          </cell>
          <cell r="M187">
            <v>13.534786168118602</v>
          </cell>
          <cell r="N187">
            <v>13.534786168118602</v>
          </cell>
          <cell r="O187">
            <v>13.534786168118602</v>
          </cell>
          <cell r="P187">
            <v>13.534786168118602</v>
          </cell>
          <cell r="Q187">
            <v>13.534786168118602</v>
          </cell>
          <cell r="R187">
            <v>13.534786168118602</v>
          </cell>
          <cell r="S187">
            <v>13.534786168118602</v>
          </cell>
          <cell r="T187">
            <v>13.534786168118602</v>
          </cell>
          <cell r="U187">
            <v>13.534786168118602</v>
          </cell>
          <cell r="V187">
            <v>13.534786168118602</v>
          </cell>
          <cell r="W187">
            <v>13.534786168118602</v>
          </cell>
          <cell r="X187">
            <v>13.534786168118602</v>
          </cell>
          <cell r="Y187">
            <v>13.534786168118602</v>
          </cell>
          <cell r="Z187">
            <v>13.534786168118602</v>
          </cell>
        </row>
        <row r="189">
          <cell r="E189" t="str">
            <v>Volume of Pellerts</v>
          </cell>
          <cell r="F189" t="str">
            <v>[ '000 t ]</v>
          </cell>
          <cell r="J189">
            <v>1015.91279516</v>
          </cell>
          <cell r="K189">
            <v>890.05642199999988</v>
          </cell>
          <cell r="L189">
            <v>865.42923851800015</v>
          </cell>
          <cell r="M189">
            <v>1160.6632199999999</v>
          </cell>
          <cell r="N189">
            <v>1277.2031999999999</v>
          </cell>
          <cell r="O189">
            <v>1360.6320000000001</v>
          </cell>
          <cell r="P189">
            <v>1360.6320000000001</v>
          </cell>
          <cell r="Q189">
            <v>1360.6320000000001</v>
          </cell>
          <cell r="R189">
            <v>1360.6320000000001</v>
          </cell>
          <cell r="S189">
            <v>1360.6320000000001</v>
          </cell>
          <cell r="T189">
            <v>1360.6320000000001</v>
          </cell>
          <cell r="U189">
            <v>1360.6320000000001</v>
          </cell>
          <cell r="V189">
            <v>1360.6320000000001</v>
          </cell>
          <cell r="W189">
            <v>1360.6320000000001</v>
          </cell>
          <cell r="X189">
            <v>1360.6320000000001</v>
          </cell>
          <cell r="Y189">
            <v>1360.6320000000001</v>
          </cell>
          <cell r="Z189">
            <v>1360.6320000000001</v>
          </cell>
        </row>
        <row r="192">
          <cell r="E192" t="str">
            <v>Fixed costs</v>
          </cell>
          <cell r="F192" t="str">
            <v>[R$ '000]</v>
          </cell>
          <cell r="J192">
            <v>-88791.464419400232</v>
          </cell>
          <cell r="K192">
            <v>-68403.4237371005</v>
          </cell>
          <cell r="L192">
            <v>-50220.624389000004</v>
          </cell>
          <cell r="M192">
            <v>-51829.273540900002</v>
          </cell>
          <cell r="N192">
            <v>-51829.273540900002</v>
          </cell>
          <cell r="O192">
            <v>-51829.273540900002</v>
          </cell>
          <cell r="P192">
            <v>-51829.273540900002</v>
          </cell>
          <cell r="Q192">
            <v>-51829.273540900002</v>
          </cell>
          <cell r="R192">
            <v>-51829.273540900002</v>
          </cell>
          <cell r="S192">
            <v>-51829.273540900002</v>
          </cell>
          <cell r="T192">
            <v>-51829.273540900002</v>
          </cell>
          <cell r="U192">
            <v>-51829.273540900002</v>
          </cell>
          <cell r="V192">
            <v>-51829.273540900002</v>
          </cell>
          <cell r="W192">
            <v>-51829.273540900002</v>
          </cell>
          <cell r="X192">
            <v>-51829.273540900002</v>
          </cell>
          <cell r="Y192">
            <v>-51829.273540900002</v>
          </cell>
          <cell r="Z192">
            <v>-51829.273540900002</v>
          </cell>
        </row>
        <row r="193">
          <cell r="E193" t="str">
            <v>Fixed Maintenance</v>
          </cell>
          <cell r="F193" t="str">
            <v>[R$ '000]</v>
          </cell>
          <cell r="J193">
            <v>-16918.35352860023</v>
          </cell>
          <cell r="K193">
            <v>-10378.248671700663</v>
          </cell>
          <cell r="L193">
            <v>-13146.618501199999</v>
          </cell>
          <cell r="M193">
            <v>-13141.1664268</v>
          </cell>
          <cell r="N193">
            <v>-13141.1664268</v>
          </cell>
          <cell r="O193">
            <v>-13141.1664268</v>
          </cell>
          <cell r="P193">
            <v>-13141.1664268</v>
          </cell>
          <cell r="Q193">
            <v>-13141.1664268</v>
          </cell>
          <cell r="R193">
            <v>-13141.1664268</v>
          </cell>
          <cell r="S193">
            <v>-13141.1664268</v>
          </cell>
          <cell r="T193">
            <v>-13141.1664268</v>
          </cell>
          <cell r="U193">
            <v>-13141.1664268</v>
          </cell>
          <cell r="V193">
            <v>-13141.1664268</v>
          </cell>
          <cell r="W193">
            <v>-13141.1664268</v>
          </cell>
          <cell r="X193">
            <v>-13141.1664268</v>
          </cell>
          <cell r="Y193">
            <v>-13141.1664268</v>
          </cell>
          <cell r="Z193">
            <v>-13141.1664268</v>
          </cell>
        </row>
        <row r="194">
          <cell r="E194" t="str">
            <v>Fixed Energy</v>
          </cell>
          <cell r="F194" t="str">
            <v>[R$ '000]</v>
          </cell>
          <cell r="J194">
            <v>-17817.998180800005</v>
          </cell>
          <cell r="K194">
            <v>-18782.205675399946</v>
          </cell>
          <cell r="L194">
            <v>-15065.896897800003</v>
          </cell>
          <cell r="M194">
            <v>-10259.448884099998</v>
          </cell>
          <cell r="N194">
            <v>-10259.448884099998</v>
          </cell>
          <cell r="O194">
            <v>-10259.448884099998</v>
          </cell>
          <cell r="P194">
            <v>-10259.448884099998</v>
          </cell>
          <cell r="Q194">
            <v>-10259.448884099998</v>
          </cell>
          <cell r="R194">
            <v>-10259.448884099998</v>
          </cell>
          <cell r="S194">
            <v>-10259.448884099998</v>
          </cell>
          <cell r="T194">
            <v>-10259.448884099998</v>
          </cell>
          <cell r="U194">
            <v>-10259.448884099998</v>
          </cell>
          <cell r="V194">
            <v>-10259.448884099998</v>
          </cell>
          <cell r="W194">
            <v>-10259.448884099998</v>
          </cell>
          <cell r="X194">
            <v>-10259.448884099998</v>
          </cell>
          <cell r="Y194">
            <v>-10259.448884099998</v>
          </cell>
          <cell r="Z194">
            <v>-10259.448884099998</v>
          </cell>
        </row>
        <row r="195">
          <cell r="E195" t="str">
            <v>Production Support</v>
          </cell>
          <cell r="F195" t="str">
            <v>[R$ '000]</v>
          </cell>
          <cell r="J195">
            <v>-54055.112710000009</v>
          </cell>
          <cell r="K195">
            <v>-39242.969389999882</v>
          </cell>
          <cell r="L195">
            <v>-22008.108990000001</v>
          </cell>
          <cell r="M195">
            <v>-28428.658230000001</v>
          </cell>
          <cell r="N195">
            <v>-28428.658230000001</v>
          </cell>
          <cell r="O195">
            <v>-28428.658230000001</v>
          </cell>
          <cell r="P195">
            <v>-28428.658230000001</v>
          </cell>
          <cell r="Q195">
            <v>-28428.658230000001</v>
          </cell>
          <cell r="R195">
            <v>-28428.658230000001</v>
          </cell>
          <cell r="S195">
            <v>-28428.658230000001</v>
          </cell>
          <cell r="T195">
            <v>-28428.658230000001</v>
          </cell>
          <cell r="U195">
            <v>-28428.658230000001</v>
          </cell>
          <cell r="V195">
            <v>-28428.658230000001</v>
          </cell>
          <cell r="W195">
            <v>-28428.658230000001</v>
          </cell>
          <cell r="X195">
            <v>-28428.658230000001</v>
          </cell>
          <cell r="Y195">
            <v>-28428.658230000001</v>
          </cell>
          <cell r="Z195">
            <v>-28428.658230000001</v>
          </cell>
        </row>
        <row r="198">
          <cell r="B198">
            <v>7</v>
          </cell>
          <cell r="E198" t="str">
            <v>SG&amp;A</v>
          </cell>
          <cell r="J198">
            <v>2014</v>
          </cell>
          <cell r="K198">
            <v>2015</v>
          </cell>
          <cell r="L198">
            <v>2016</v>
          </cell>
          <cell r="M198">
            <v>2017</v>
          </cell>
          <cell r="N198">
            <v>2018</v>
          </cell>
          <cell r="O198">
            <v>2019</v>
          </cell>
          <cell r="P198">
            <v>2020</v>
          </cell>
          <cell r="Q198">
            <v>2021</v>
          </cell>
          <cell r="R198">
            <v>2022</v>
          </cell>
          <cell r="S198">
            <v>2023</v>
          </cell>
          <cell r="T198">
            <v>2024</v>
          </cell>
          <cell r="U198">
            <v>2025</v>
          </cell>
          <cell r="V198">
            <v>2026</v>
          </cell>
          <cell r="W198">
            <v>2027</v>
          </cell>
          <cell r="X198">
            <v>2028</v>
          </cell>
          <cell r="Y198">
            <v>2029</v>
          </cell>
          <cell r="Z198">
            <v>2030</v>
          </cell>
        </row>
        <row r="200">
          <cell r="E200" t="str">
            <v>SG&amp;A</v>
          </cell>
          <cell r="F200" t="str">
            <v>[R$ '000]</v>
          </cell>
          <cell r="J200">
            <v>-2831.7648377193395</v>
          </cell>
          <cell r="K200">
            <v>-3002.2173595190939</v>
          </cell>
          <cell r="L200">
            <v>-2966.7889094100383</v>
          </cell>
          <cell r="M200">
            <v>-2645.2055121808357</v>
          </cell>
          <cell r="N200">
            <v>-2645.2055121808357</v>
          </cell>
          <cell r="O200">
            <v>-2645.2055121808357</v>
          </cell>
          <cell r="P200">
            <v>-2645.2055121808357</v>
          </cell>
          <cell r="Q200">
            <v>-2645.2055121808357</v>
          </cell>
          <cell r="R200">
            <v>-2645.2055121808357</v>
          </cell>
          <cell r="S200">
            <v>-2645.2055121808357</v>
          </cell>
          <cell r="T200">
            <v>-2645.2055121808357</v>
          </cell>
          <cell r="U200">
            <v>-2645.2055121808357</v>
          </cell>
          <cell r="V200">
            <v>-2645.2055121808357</v>
          </cell>
          <cell r="W200">
            <v>-2645.2055121808357</v>
          </cell>
          <cell r="X200">
            <v>-2645.2055121808357</v>
          </cell>
          <cell r="Y200">
            <v>-2645.2055121808357</v>
          </cell>
          <cell r="Z200">
            <v>-2645.2055121808357</v>
          </cell>
        </row>
        <row r="201">
          <cell r="E201" t="str">
            <v>% Net revenues</v>
          </cell>
          <cell r="F201" t="str">
            <v>[%]</v>
          </cell>
          <cell r="J201">
            <v>1.0000000000000002E-2</v>
          </cell>
          <cell r="K201">
            <v>1.4999999999999998E-2</v>
          </cell>
          <cell r="L201">
            <v>1.4999999999999999E-2</v>
          </cell>
          <cell r="M201">
            <v>7.5869413288031781E-3</v>
          </cell>
          <cell r="N201">
            <v>7.7731500939342089E-3</v>
          </cell>
          <cell r="O201">
            <v>7.2933464438649119E-3</v>
          </cell>
          <cell r="P201">
            <v>7.332442107534462E-3</v>
          </cell>
          <cell r="Q201">
            <v>7.3067610783840962E-3</v>
          </cell>
          <cell r="R201">
            <v>7.3067610783840962E-3</v>
          </cell>
          <cell r="S201">
            <v>7.3067610783840962E-3</v>
          </cell>
          <cell r="T201">
            <v>7.3067610783840962E-3</v>
          </cell>
          <cell r="U201">
            <v>7.3067610783840962E-3</v>
          </cell>
          <cell r="V201">
            <v>7.3067610783840962E-3</v>
          </cell>
          <cell r="W201">
            <v>7.3067610783840962E-3</v>
          </cell>
          <cell r="X201">
            <v>7.3067610783840962E-3</v>
          </cell>
          <cell r="Y201">
            <v>7.3067610783840988E-3</v>
          </cell>
          <cell r="Z201">
            <v>7.3067610783840988E-3</v>
          </cell>
        </row>
        <row r="203">
          <cell r="B203">
            <v>8</v>
          </cell>
          <cell r="E203" t="str">
            <v>Working Capital</v>
          </cell>
          <cell r="J203">
            <v>2014</v>
          </cell>
          <cell r="K203">
            <v>2015</v>
          </cell>
          <cell r="L203">
            <v>2016</v>
          </cell>
          <cell r="M203">
            <v>2017</v>
          </cell>
          <cell r="N203">
            <v>2018</v>
          </cell>
          <cell r="O203">
            <v>2019</v>
          </cell>
          <cell r="P203">
            <v>2020</v>
          </cell>
          <cell r="Q203">
            <v>2021</v>
          </cell>
          <cell r="R203">
            <v>2022</v>
          </cell>
          <cell r="S203">
            <v>2023</v>
          </cell>
          <cell r="T203">
            <v>2024</v>
          </cell>
          <cell r="U203">
            <v>2025</v>
          </cell>
          <cell r="V203">
            <v>2026</v>
          </cell>
          <cell r="W203">
            <v>2027</v>
          </cell>
          <cell r="X203">
            <v>2028</v>
          </cell>
          <cell r="Y203">
            <v>2029</v>
          </cell>
          <cell r="Z203">
            <v>2030</v>
          </cell>
        </row>
        <row r="205">
          <cell r="E205" t="str">
            <v>Working Capital</v>
          </cell>
          <cell r="J205">
            <v>8986.7208621495738</v>
          </cell>
          <cell r="K205">
            <v>15105.080170464638</v>
          </cell>
          <cell r="L205">
            <v>23784.472790604676</v>
          </cell>
          <cell r="M205">
            <v>32673.692212419446</v>
          </cell>
          <cell r="N205">
            <v>32103.822234143056</v>
          </cell>
          <cell r="O205">
            <v>34114.52149542181</v>
          </cell>
          <cell r="P205">
            <v>33948.138225159084</v>
          </cell>
          <cell r="Q205">
            <v>34057.230858951196</v>
          </cell>
          <cell r="R205">
            <v>34057.230858951196</v>
          </cell>
          <cell r="S205">
            <v>34057.230858951196</v>
          </cell>
          <cell r="T205">
            <v>34057.230858951196</v>
          </cell>
          <cell r="U205">
            <v>34057.230858951196</v>
          </cell>
          <cell r="V205">
            <v>34057.230858951196</v>
          </cell>
          <cell r="W205">
            <v>34057.230858951196</v>
          </cell>
          <cell r="X205">
            <v>34057.230858951196</v>
          </cell>
          <cell r="Y205">
            <v>34057.230858951181</v>
          </cell>
          <cell r="Z205">
            <v>34057.230858951181</v>
          </cell>
        </row>
        <row r="206">
          <cell r="E206" t="str">
            <v>Var. Working Capital</v>
          </cell>
          <cell r="K206">
            <v>6118.3593083150645</v>
          </cell>
          <cell r="L206">
            <v>8679.3926201400373</v>
          </cell>
          <cell r="M206">
            <v>8889.2194218147706</v>
          </cell>
          <cell r="N206">
            <v>-569.86997827639061</v>
          </cell>
          <cell r="O206">
            <v>2010.6992612787544</v>
          </cell>
          <cell r="P206">
            <v>-166.383270262726</v>
          </cell>
          <cell r="Q206">
            <v>109.09263379211188</v>
          </cell>
          <cell r="R206">
            <v>0</v>
          </cell>
          <cell r="S206">
            <v>0</v>
          </cell>
          <cell r="T206">
            <v>0</v>
          </cell>
          <cell r="U206">
            <v>0</v>
          </cell>
          <cell r="V206">
            <v>0</v>
          </cell>
          <cell r="W206">
            <v>0</v>
          </cell>
          <cell r="X206">
            <v>0</v>
          </cell>
          <cell r="Y206">
            <v>0</v>
          </cell>
          <cell r="Z206">
            <v>0</v>
          </cell>
        </row>
        <row r="208">
          <cell r="E208" t="str">
            <v>Assets</v>
          </cell>
          <cell r="J208">
            <v>30888.51038810415</v>
          </cell>
          <cell r="K208">
            <v>30412.723877039978</v>
          </cell>
          <cell r="L208">
            <v>40006.16359580843</v>
          </cell>
          <cell r="M208">
            <v>55319.903193880949</v>
          </cell>
          <cell r="N208">
            <v>55407.346015622476</v>
          </cell>
          <cell r="O208">
            <v>58380.069438254875</v>
          </cell>
          <cell r="P208">
            <v>58171.743363137954</v>
          </cell>
          <cell r="Q208">
            <v>58308.336664773335</v>
          </cell>
          <cell r="R208">
            <v>58308.336664773335</v>
          </cell>
          <cell r="S208">
            <v>58308.336664773335</v>
          </cell>
          <cell r="T208">
            <v>58308.336664773335</v>
          </cell>
          <cell r="U208">
            <v>58308.336664773335</v>
          </cell>
          <cell r="V208">
            <v>58308.336664773335</v>
          </cell>
          <cell r="W208">
            <v>58308.336664773335</v>
          </cell>
          <cell r="X208">
            <v>58308.336664773335</v>
          </cell>
          <cell r="Y208">
            <v>58308.33666477332</v>
          </cell>
          <cell r="Z208">
            <v>58308.33666477332</v>
          </cell>
        </row>
        <row r="210">
          <cell r="E210" t="str">
            <v>Inventories</v>
          </cell>
          <cell r="F210" t="str">
            <v>[R$ '000]</v>
          </cell>
          <cell r="J210">
            <v>7613.7309000000005</v>
          </cell>
          <cell r="K210">
            <v>13962.217797483298</v>
          </cell>
          <cell r="L210">
            <v>23749.78601</v>
          </cell>
          <cell r="M210">
            <v>26663.539283341433</v>
          </cell>
          <cell r="N210">
            <v>27437.456195052102</v>
          </cell>
          <cell r="O210">
            <v>28570.138789892131</v>
          </cell>
          <cell r="P210">
            <v>28520.755534309159</v>
          </cell>
          <cell r="Q210">
            <v>28553.134687623478</v>
          </cell>
          <cell r="R210">
            <v>28553.134687623478</v>
          </cell>
          <cell r="S210">
            <v>28553.134687623478</v>
          </cell>
          <cell r="T210">
            <v>28553.134687623478</v>
          </cell>
          <cell r="U210">
            <v>28553.134687623478</v>
          </cell>
          <cell r="V210">
            <v>28553.134687623478</v>
          </cell>
          <cell r="W210">
            <v>28553.134687623478</v>
          </cell>
          <cell r="X210">
            <v>28553.134687623478</v>
          </cell>
          <cell r="Y210">
            <v>28553.134687623478</v>
          </cell>
          <cell r="Z210">
            <v>28553.134687623478</v>
          </cell>
        </row>
        <row r="211">
          <cell r="E211" t="str">
            <v>Days</v>
          </cell>
          <cell r="F211" t="str">
            <v>[Days]</v>
          </cell>
          <cell r="J211">
            <v>10.428916172777658</v>
          </cell>
          <cell r="K211">
            <v>27.363227283933739</v>
          </cell>
          <cell r="L211">
            <v>43.922275973318349</v>
          </cell>
          <cell r="M211">
            <v>35.321854907872101</v>
          </cell>
          <cell r="N211">
            <v>35.321854907872101</v>
          </cell>
          <cell r="O211">
            <v>35.321854907872101</v>
          </cell>
          <cell r="P211">
            <v>35.321854907872101</v>
          </cell>
          <cell r="Q211">
            <v>35.321854907872101</v>
          </cell>
          <cell r="R211">
            <v>35.321854907872101</v>
          </cell>
          <cell r="S211">
            <v>35.321854907872101</v>
          </cell>
          <cell r="T211">
            <v>35.321854907872101</v>
          </cell>
          <cell r="U211">
            <v>35.321854907872101</v>
          </cell>
          <cell r="V211">
            <v>35.321854907872101</v>
          </cell>
          <cell r="W211">
            <v>35.321854907872101</v>
          </cell>
          <cell r="X211">
            <v>35.321854907872101</v>
          </cell>
          <cell r="Y211">
            <v>35.321854907872101</v>
          </cell>
          <cell r="Z211">
            <v>35.321854907872101</v>
          </cell>
        </row>
        <row r="212">
          <cell r="E212" t="str">
            <v>COGS</v>
          </cell>
          <cell r="F212" t="str">
            <v>[R$ '000]</v>
          </cell>
          <cell r="J212">
            <v>266471.77256578067</v>
          </cell>
          <cell r="K212">
            <v>186242.99842999998</v>
          </cell>
          <cell r="L212">
            <v>197363.90479664566</v>
          </cell>
          <cell r="M212">
            <v>275528.90027444827</v>
          </cell>
          <cell r="N212">
            <v>283526.2060079996</v>
          </cell>
          <cell r="O212">
            <v>295230.83330446895</v>
          </cell>
          <cell r="P212">
            <v>294720.5291787429</v>
          </cell>
          <cell r="Q212">
            <v>295055.1206375027</v>
          </cell>
          <cell r="R212">
            <v>295055.1206375027</v>
          </cell>
          <cell r="S212">
            <v>295055.1206375027</v>
          </cell>
          <cell r="T212">
            <v>295055.1206375027</v>
          </cell>
          <cell r="U212">
            <v>295055.1206375027</v>
          </cell>
          <cell r="V212">
            <v>295055.1206375027</v>
          </cell>
          <cell r="W212">
            <v>295055.1206375027</v>
          </cell>
          <cell r="X212">
            <v>295055.1206375027</v>
          </cell>
          <cell r="Y212">
            <v>295055.1206375027</v>
          </cell>
          <cell r="Z212">
            <v>295055.1206375027</v>
          </cell>
        </row>
        <row r="214">
          <cell r="E214" t="str">
            <v>Receivables</v>
          </cell>
          <cell r="F214" t="str">
            <v>[R$ '000]</v>
          </cell>
          <cell r="J214">
            <v>23274.779488104152</v>
          </cell>
          <cell r="K214">
            <v>16450.506079556682</v>
          </cell>
          <cell r="L214">
            <v>16256.37758580843</v>
          </cell>
          <cell r="M214">
            <v>28656.363910539516</v>
          </cell>
          <cell r="N214">
            <v>27969.889820570377</v>
          </cell>
          <cell r="O214">
            <v>29809.930648362744</v>
          </cell>
          <cell r="P214">
            <v>29650.987828828791</v>
          </cell>
          <cell r="Q214">
            <v>29755.201977149856</v>
          </cell>
          <cell r="R214">
            <v>29755.201977149856</v>
          </cell>
          <cell r="S214">
            <v>29755.201977149856</v>
          </cell>
          <cell r="T214">
            <v>29755.201977149856</v>
          </cell>
          <cell r="U214">
            <v>29755.201977149856</v>
          </cell>
          <cell r="V214">
            <v>29755.201977149856</v>
          </cell>
          <cell r="W214">
            <v>29755.201977149856</v>
          </cell>
          <cell r="X214">
            <v>29755.201977149856</v>
          </cell>
          <cell r="Y214">
            <v>29755.201977149845</v>
          </cell>
          <cell r="Z214">
            <v>29755.201977149845</v>
          </cell>
        </row>
        <row r="215">
          <cell r="E215" t="str">
            <v>Days</v>
          </cell>
          <cell r="F215" t="str">
            <v>[Days]</v>
          </cell>
          <cell r="J215">
            <v>30</v>
          </cell>
          <cell r="K215">
            <v>30</v>
          </cell>
          <cell r="L215">
            <v>30</v>
          </cell>
          <cell r="M215">
            <v>30</v>
          </cell>
          <cell r="N215">
            <v>30</v>
          </cell>
          <cell r="O215">
            <v>30</v>
          </cell>
          <cell r="P215">
            <v>30</v>
          </cell>
          <cell r="Q215">
            <v>30</v>
          </cell>
          <cell r="R215">
            <v>30</v>
          </cell>
          <cell r="S215">
            <v>30</v>
          </cell>
          <cell r="T215">
            <v>30</v>
          </cell>
          <cell r="U215">
            <v>30</v>
          </cell>
          <cell r="V215">
            <v>30</v>
          </cell>
          <cell r="W215">
            <v>30</v>
          </cell>
          <cell r="X215">
            <v>30</v>
          </cell>
          <cell r="Y215">
            <v>30</v>
          </cell>
          <cell r="Z215">
            <v>30</v>
          </cell>
        </row>
        <row r="216">
          <cell r="E216" t="str">
            <v>Net revenues</v>
          </cell>
          <cell r="F216" t="str">
            <v>[R$ '000]</v>
          </cell>
          <cell r="J216">
            <v>283176.48377193388</v>
          </cell>
          <cell r="K216">
            <v>200147.82396793962</v>
          </cell>
          <cell r="L216">
            <v>197785.92729400255</v>
          </cell>
          <cell r="M216">
            <v>348652.42757823074</v>
          </cell>
          <cell r="N216">
            <v>340300.32615027291</v>
          </cell>
          <cell r="O216">
            <v>362687.48955508007</v>
          </cell>
          <cell r="P216">
            <v>360753.68525075034</v>
          </cell>
          <cell r="Q216">
            <v>362021.62405532325</v>
          </cell>
          <cell r="R216">
            <v>362021.62405532325</v>
          </cell>
          <cell r="S216">
            <v>362021.62405532325</v>
          </cell>
          <cell r="T216">
            <v>362021.62405532325</v>
          </cell>
          <cell r="U216">
            <v>362021.62405532325</v>
          </cell>
          <cell r="V216">
            <v>362021.62405532325</v>
          </cell>
          <cell r="W216">
            <v>362021.62405532325</v>
          </cell>
          <cell r="X216">
            <v>362021.62405532325</v>
          </cell>
          <cell r="Y216">
            <v>362021.62405532313</v>
          </cell>
          <cell r="Z216">
            <v>362021.62405532313</v>
          </cell>
        </row>
        <row r="218">
          <cell r="E218" t="str">
            <v>Liabilities</v>
          </cell>
          <cell r="J218">
            <v>21901.789525954577</v>
          </cell>
          <cell r="K218">
            <v>15307.64370657534</v>
          </cell>
          <cell r="L218">
            <v>16221.690805203754</v>
          </cell>
          <cell r="M218">
            <v>22646.210981461503</v>
          </cell>
          <cell r="N218">
            <v>23303.52378147942</v>
          </cell>
          <cell r="O218">
            <v>24265.547942833065</v>
          </cell>
          <cell r="P218">
            <v>24223.605137978866</v>
          </cell>
          <cell r="Q218">
            <v>24251.105805822139</v>
          </cell>
          <cell r="R218">
            <v>24251.105805822139</v>
          </cell>
          <cell r="S218">
            <v>24251.105805822139</v>
          </cell>
          <cell r="T218">
            <v>24251.105805822139</v>
          </cell>
          <cell r="U218">
            <v>24251.105805822139</v>
          </cell>
          <cell r="V218">
            <v>24251.105805822139</v>
          </cell>
          <cell r="W218">
            <v>24251.105805822139</v>
          </cell>
          <cell r="X218">
            <v>24251.105805822139</v>
          </cell>
          <cell r="Y218">
            <v>24251.105805822139</v>
          </cell>
          <cell r="Z218">
            <v>24251.105805822139</v>
          </cell>
        </row>
        <row r="220">
          <cell r="E220" t="str">
            <v>Suppliers</v>
          </cell>
          <cell r="F220" t="str">
            <v>[R$ '000]</v>
          </cell>
          <cell r="J220">
            <v>21901.789525954577</v>
          </cell>
          <cell r="K220">
            <v>15307.64370657534</v>
          </cell>
          <cell r="L220">
            <v>16221.690805203754</v>
          </cell>
          <cell r="M220">
            <v>22646.210981461503</v>
          </cell>
          <cell r="N220">
            <v>23303.52378147942</v>
          </cell>
          <cell r="O220">
            <v>24265.547942833065</v>
          </cell>
          <cell r="P220">
            <v>24223.605137978866</v>
          </cell>
          <cell r="Q220">
            <v>24251.105805822139</v>
          </cell>
          <cell r="R220">
            <v>24251.105805822139</v>
          </cell>
          <cell r="S220">
            <v>24251.105805822139</v>
          </cell>
          <cell r="T220">
            <v>24251.105805822139</v>
          </cell>
          <cell r="U220">
            <v>24251.105805822139</v>
          </cell>
          <cell r="V220">
            <v>24251.105805822139</v>
          </cell>
          <cell r="W220">
            <v>24251.105805822139</v>
          </cell>
          <cell r="X220">
            <v>24251.105805822139</v>
          </cell>
          <cell r="Y220">
            <v>24251.105805822139</v>
          </cell>
          <cell r="Z220">
            <v>24251.105805822139</v>
          </cell>
        </row>
        <row r="221">
          <cell r="E221" t="str">
            <v>Days</v>
          </cell>
          <cell r="F221" t="str">
            <v>[Days]</v>
          </cell>
          <cell r="J221">
            <v>30</v>
          </cell>
          <cell r="K221">
            <v>30</v>
          </cell>
          <cell r="L221">
            <v>30</v>
          </cell>
          <cell r="M221">
            <v>30</v>
          </cell>
          <cell r="N221">
            <v>30</v>
          </cell>
          <cell r="O221">
            <v>30</v>
          </cell>
          <cell r="P221">
            <v>30</v>
          </cell>
          <cell r="Q221">
            <v>30</v>
          </cell>
          <cell r="R221">
            <v>30</v>
          </cell>
          <cell r="S221">
            <v>30</v>
          </cell>
          <cell r="T221">
            <v>30</v>
          </cell>
          <cell r="U221">
            <v>30</v>
          </cell>
          <cell r="V221">
            <v>30</v>
          </cell>
          <cell r="W221">
            <v>30</v>
          </cell>
          <cell r="X221">
            <v>30</v>
          </cell>
          <cell r="Y221">
            <v>30</v>
          </cell>
          <cell r="Z221">
            <v>30</v>
          </cell>
        </row>
        <row r="222">
          <cell r="E222" t="str">
            <v>COGS</v>
          </cell>
          <cell r="F222" t="str">
            <v>[R$ '000]</v>
          </cell>
          <cell r="J222">
            <v>266471.77256578067</v>
          </cell>
          <cell r="K222">
            <v>186242.99842999998</v>
          </cell>
          <cell r="L222">
            <v>197363.90479664566</v>
          </cell>
          <cell r="M222">
            <v>275528.90027444827</v>
          </cell>
          <cell r="N222">
            <v>283526.2060079996</v>
          </cell>
          <cell r="O222">
            <v>295230.83330446895</v>
          </cell>
          <cell r="P222">
            <v>294720.5291787429</v>
          </cell>
          <cell r="Q222">
            <v>295055.1206375027</v>
          </cell>
          <cell r="R222">
            <v>295055.1206375027</v>
          </cell>
          <cell r="S222">
            <v>295055.1206375027</v>
          </cell>
          <cell r="T222">
            <v>295055.1206375027</v>
          </cell>
          <cell r="U222">
            <v>295055.1206375027</v>
          </cell>
          <cell r="V222">
            <v>295055.1206375027</v>
          </cell>
          <cell r="W222">
            <v>295055.1206375027</v>
          </cell>
          <cell r="X222">
            <v>295055.1206375027</v>
          </cell>
          <cell r="Y222">
            <v>295055.1206375027</v>
          </cell>
          <cell r="Z222">
            <v>295055.1206375027</v>
          </cell>
        </row>
        <row r="225">
          <cell r="B225">
            <v>9</v>
          </cell>
          <cell r="E225" t="str">
            <v>PP&amp;E</v>
          </cell>
          <cell r="J225">
            <v>2014</v>
          </cell>
          <cell r="K225">
            <v>2015</v>
          </cell>
          <cell r="L225">
            <v>2016</v>
          </cell>
          <cell r="M225">
            <v>2017</v>
          </cell>
          <cell r="N225">
            <v>2018</v>
          </cell>
          <cell r="O225">
            <v>2019</v>
          </cell>
          <cell r="P225">
            <v>2020</v>
          </cell>
          <cell r="Q225">
            <v>2021</v>
          </cell>
          <cell r="R225">
            <v>2022</v>
          </cell>
          <cell r="S225">
            <v>2023</v>
          </cell>
          <cell r="T225">
            <v>2024</v>
          </cell>
          <cell r="U225">
            <v>2025</v>
          </cell>
          <cell r="V225">
            <v>2026</v>
          </cell>
          <cell r="W225">
            <v>2027</v>
          </cell>
          <cell r="X225">
            <v>2028</v>
          </cell>
          <cell r="Y225">
            <v>2029</v>
          </cell>
          <cell r="Z225">
            <v>2030</v>
          </cell>
        </row>
        <row r="227">
          <cell r="E227" t="str">
            <v>Net PP&amp;E</v>
          </cell>
          <cell r="F227" t="str">
            <v>[R$ '000]</v>
          </cell>
          <cell r="J227">
            <v>465801.60171999998</v>
          </cell>
          <cell r="K227">
            <v>428294.35216000001</v>
          </cell>
          <cell r="L227">
            <v>270811.45000999997</v>
          </cell>
          <cell r="M227">
            <v>248414.66121999995</v>
          </cell>
          <cell r="N227">
            <v>227684.90187359997</v>
          </cell>
          <cell r="O227">
            <v>209402.71364876797</v>
          </cell>
          <cell r="P227">
            <v>193154.38801091578</v>
          </cell>
          <cell r="Q227">
            <v>178575.8614496059</v>
          </cell>
          <cell r="R227">
            <v>165346.75807565317</v>
          </cell>
          <cell r="S227">
            <v>153185.14710657479</v>
          </cell>
          <cell r="T227">
            <v>141842.92945378582</v>
          </cell>
          <cell r="U227">
            <v>131101.77791933151</v>
          </cell>
          <cell r="V227">
            <v>120769.56456901174</v>
          </cell>
          <cell r="W227">
            <v>111677.2168207303</v>
          </cell>
          <cell r="X227">
            <v>103675.95080224267</v>
          </cell>
          <cell r="Y227">
            <v>96634.836705973546</v>
          </cell>
          <cell r="Z227">
            <v>90438.656301256735</v>
          </cell>
        </row>
        <row r="228">
          <cell r="E228" t="str">
            <v>Gross Property, plant and equipment</v>
          </cell>
          <cell r="F228" t="str">
            <v>[R$ '000]</v>
          </cell>
          <cell r="J228">
            <v>487261.95236</v>
          </cell>
          <cell r="K228">
            <v>487261.95236</v>
          </cell>
          <cell r="L228">
            <v>501402.84594999999</v>
          </cell>
          <cell r="M228">
            <v>511402.84594999999</v>
          </cell>
          <cell r="N228">
            <v>521402.84594999999</v>
          </cell>
          <cell r="O228">
            <v>531402.84594999999</v>
          </cell>
          <cell r="P228">
            <v>541402.84594999999</v>
          </cell>
          <cell r="Q228">
            <v>551402.84594999999</v>
          </cell>
          <cell r="R228">
            <v>561402.84594999999</v>
          </cell>
          <cell r="S228">
            <v>571402.84594999999</v>
          </cell>
          <cell r="T228">
            <v>581402.84594999999</v>
          </cell>
          <cell r="U228">
            <v>591402.84594999999</v>
          </cell>
          <cell r="V228">
            <v>601402.84594999999</v>
          </cell>
          <cell r="W228">
            <v>611402.84594999999</v>
          </cell>
          <cell r="X228">
            <v>621402.84594999999</v>
          </cell>
          <cell r="Y228">
            <v>631402.84594999999</v>
          </cell>
          <cell r="Z228">
            <v>641402.84594999999</v>
          </cell>
        </row>
        <row r="229">
          <cell r="E229" t="str">
            <v>Accmulated Depreciation</v>
          </cell>
          <cell r="F229" t="str">
            <v>[R$ '000]</v>
          </cell>
          <cell r="J229">
            <v>-21460.350640000011</v>
          </cell>
          <cell r="K229">
            <v>-58967.600200000001</v>
          </cell>
          <cell r="L229">
            <v>-96568.338629999998</v>
          </cell>
          <cell r="M229">
            <v>-128965.12742</v>
          </cell>
          <cell r="N229">
            <v>-159694.88676640001</v>
          </cell>
          <cell r="O229">
            <v>-187977.07499123202</v>
          </cell>
          <cell r="P229">
            <v>-214225.40062908418</v>
          </cell>
          <cell r="Q229">
            <v>-238803.92719039408</v>
          </cell>
          <cell r="R229">
            <v>-262033.03056434679</v>
          </cell>
          <cell r="S229">
            <v>-284194.64153342519</v>
          </cell>
          <cell r="T229">
            <v>-305536.85918621416</v>
          </cell>
          <cell r="U229">
            <v>-326278.01072066848</v>
          </cell>
          <cell r="V229">
            <v>-346610.22407098825</v>
          </cell>
          <cell r="W229">
            <v>-365702.57181926968</v>
          </cell>
          <cell r="X229">
            <v>-383703.83783775731</v>
          </cell>
          <cell r="Y229">
            <v>-400744.95193402644</v>
          </cell>
          <cell r="Z229">
            <v>-416941.13233874325</v>
          </cell>
        </row>
        <row r="230">
          <cell r="E230" t="str">
            <v>Fair Value Adjustment</v>
          </cell>
          <cell r="F230" t="str">
            <v>[R$ '000]</v>
          </cell>
          <cell r="J230">
            <v>0</v>
          </cell>
          <cell r="K230">
            <v>0</v>
          </cell>
          <cell r="L230">
            <v>-134023.05731</v>
          </cell>
          <cell r="M230">
            <v>-134023.05731</v>
          </cell>
          <cell r="N230">
            <v>-134023.05731</v>
          </cell>
          <cell r="O230">
            <v>-134023.05731</v>
          </cell>
          <cell r="P230">
            <v>-134023.05731</v>
          </cell>
          <cell r="Q230">
            <v>-134023.05731</v>
          </cell>
          <cell r="R230">
            <v>-134023.05731</v>
          </cell>
          <cell r="S230">
            <v>-134023.05731</v>
          </cell>
          <cell r="T230">
            <v>-134023.05731</v>
          </cell>
          <cell r="U230">
            <v>-134023.05731</v>
          </cell>
          <cell r="V230">
            <v>-134023.05731</v>
          </cell>
          <cell r="W230">
            <v>-134023.05731</v>
          </cell>
          <cell r="X230">
            <v>-134023.05731</v>
          </cell>
          <cell r="Y230">
            <v>-134023.05731</v>
          </cell>
          <cell r="Z230">
            <v>-134023.05731</v>
          </cell>
        </row>
        <row r="233">
          <cell r="E233" t="str">
            <v>Net PP&amp;E - BoP</v>
          </cell>
          <cell r="F233" t="str">
            <v>[R$'000]</v>
          </cell>
          <cell r="L233">
            <v>428294.35216000001</v>
          </cell>
          <cell r="M233">
            <v>270811.45000999997</v>
          </cell>
          <cell r="N233">
            <v>248414.66121999998</v>
          </cell>
          <cell r="O233">
            <v>227684.90187359997</v>
          </cell>
          <cell r="P233">
            <v>209402.71364876797</v>
          </cell>
          <cell r="Q233">
            <v>193154.38801091581</v>
          </cell>
          <cell r="R233">
            <v>178575.8614496059</v>
          </cell>
          <cell r="S233">
            <v>165346.7580756532</v>
          </cell>
          <cell r="T233">
            <v>153185.14710657482</v>
          </cell>
          <cell r="U233">
            <v>141842.92945378585</v>
          </cell>
          <cell r="V233">
            <v>131101.77791933157</v>
          </cell>
          <cell r="W233">
            <v>120769.56456901178</v>
          </cell>
          <cell r="X233">
            <v>111677.21682073036</v>
          </cell>
          <cell r="Y233">
            <v>103675.95080224272</v>
          </cell>
          <cell r="Z233">
            <v>96634.83670597359</v>
          </cell>
        </row>
        <row r="234">
          <cell r="E234" t="str">
            <v>(+) Capex</v>
          </cell>
          <cell r="F234" t="str">
            <v>[R$'000]</v>
          </cell>
          <cell r="L234">
            <v>14140.893589999934</v>
          </cell>
          <cell r="M234">
            <v>10000</v>
          </cell>
          <cell r="N234">
            <v>10000</v>
          </cell>
          <cell r="O234">
            <v>10000</v>
          </cell>
          <cell r="P234">
            <v>10000</v>
          </cell>
          <cell r="Q234">
            <v>10000</v>
          </cell>
          <cell r="R234">
            <v>10000</v>
          </cell>
          <cell r="S234">
            <v>10000</v>
          </cell>
          <cell r="T234">
            <v>10000</v>
          </cell>
          <cell r="U234">
            <v>10000</v>
          </cell>
          <cell r="V234">
            <v>10000</v>
          </cell>
          <cell r="W234">
            <v>10000</v>
          </cell>
          <cell r="X234">
            <v>10000</v>
          </cell>
          <cell r="Y234">
            <v>10000</v>
          </cell>
          <cell r="Z234">
            <v>10000</v>
          </cell>
        </row>
        <row r="235">
          <cell r="E235" t="str">
            <v>(+) Fair Value Adjustment</v>
          </cell>
          <cell r="F235" t="str">
            <v>[R$'000]</v>
          </cell>
          <cell r="J235">
            <v>0</v>
          </cell>
          <cell r="L235">
            <v>-134023.05731</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row>
        <row r="236">
          <cell r="E236" t="str">
            <v>(-) Depreciation</v>
          </cell>
          <cell r="F236" t="str">
            <v>[R$'000]</v>
          </cell>
          <cell r="J236">
            <v>-27392.604059999998</v>
          </cell>
          <cell r="K236">
            <v>-37507.249559999989</v>
          </cell>
          <cell r="L236">
            <v>-37600.738429999998</v>
          </cell>
          <cell r="M236">
            <v>-32396.788789999999</v>
          </cell>
          <cell r="N236">
            <v>-30729.759346399998</v>
          </cell>
          <cell r="O236">
            <v>-28282.188224831996</v>
          </cell>
          <cell r="P236">
            <v>-26248.325637852155</v>
          </cell>
          <cell r="Q236">
            <v>-24578.526561309896</v>
          </cell>
          <cell r="R236">
            <v>-23229.103373952708</v>
          </cell>
          <cell r="S236">
            <v>-22161.610969078385</v>
          </cell>
          <cell r="T236">
            <v>-21342.217652788975</v>
          </cell>
          <cell r="U236">
            <v>-20741.1515344543</v>
          </cell>
          <cell r="V236">
            <v>-20332.213350319784</v>
          </cell>
          <cell r="W236">
            <v>-19092.347748281412</v>
          </cell>
          <cell r="X236">
            <v>-18001.26601848764</v>
          </cell>
          <cell r="Y236">
            <v>-17041.114096269124</v>
          </cell>
          <cell r="Z236">
            <v>-16196.18040471683</v>
          </cell>
        </row>
        <row r="237">
          <cell r="E237" t="str">
            <v>Net PP&amp;E - EoP</v>
          </cell>
          <cell r="F237" t="str">
            <v>[R$'000]</v>
          </cell>
          <cell r="J237">
            <v>465801.60171999998</v>
          </cell>
          <cell r="K237">
            <v>428294.35216000001</v>
          </cell>
          <cell r="L237">
            <v>270811.45000999997</v>
          </cell>
          <cell r="M237">
            <v>248414.66121999998</v>
          </cell>
          <cell r="N237">
            <v>227684.90187359997</v>
          </cell>
          <cell r="O237">
            <v>209402.71364876797</v>
          </cell>
          <cell r="P237">
            <v>193154.38801091581</v>
          </cell>
          <cell r="Q237">
            <v>178575.8614496059</v>
          </cell>
          <cell r="R237">
            <v>165346.7580756532</v>
          </cell>
          <cell r="S237">
            <v>153185.14710657482</v>
          </cell>
          <cell r="T237">
            <v>141842.92945378585</v>
          </cell>
          <cell r="U237">
            <v>131101.77791933157</v>
          </cell>
          <cell r="V237">
            <v>120769.56456901178</v>
          </cell>
          <cell r="W237">
            <v>111677.21682073036</v>
          </cell>
          <cell r="X237">
            <v>103675.95080224272</v>
          </cell>
          <cell r="Y237">
            <v>96634.83670597359</v>
          </cell>
          <cell r="Z237">
            <v>90438.656301256764</v>
          </cell>
        </row>
        <row r="240">
          <cell r="E240" t="str">
            <v>Existing Net PP&amp;E - BoP</v>
          </cell>
          <cell r="F240" t="str">
            <v>[R$'000]</v>
          </cell>
          <cell r="M240">
            <v>270811.45000999997</v>
          </cell>
          <cell r="N240">
            <v>239414.66121999998</v>
          </cell>
          <cell r="O240">
            <v>210684.90187359997</v>
          </cell>
          <cell r="P240">
            <v>185402.71364876797</v>
          </cell>
          <cell r="Q240">
            <v>163154.38801091581</v>
          </cell>
          <cell r="R240">
            <v>143575.8614496059</v>
          </cell>
          <cell r="S240">
            <v>126346.7580756532</v>
          </cell>
          <cell r="T240">
            <v>111185.14710657482</v>
          </cell>
          <cell r="U240">
            <v>97842.929453785837</v>
          </cell>
          <cell r="V240">
            <v>86101.777919331536</v>
          </cell>
          <cell r="W240">
            <v>75769.564569011753</v>
          </cell>
          <cell r="X240">
            <v>66677.216820730348</v>
          </cell>
          <cell r="Y240">
            <v>58675.950802242704</v>
          </cell>
          <cell r="Z240">
            <v>51634.836705973576</v>
          </cell>
        </row>
        <row r="241">
          <cell r="E241" t="str">
            <v>(-) Depreciation</v>
          </cell>
          <cell r="F241" t="str">
            <v>[R$'000]</v>
          </cell>
          <cell r="G241">
            <v>0.12</v>
          </cell>
          <cell r="M241">
            <v>-31396.788789999999</v>
          </cell>
          <cell r="N241">
            <v>-28729.759346399998</v>
          </cell>
          <cell r="O241">
            <v>-25282.188224831996</v>
          </cell>
          <cell r="P241">
            <v>-22248.325637852155</v>
          </cell>
          <cell r="Q241">
            <v>-19578.526561309896</v>
          </cell>
          <cell r="R241">
            <v>-17229.103373952708</v>
          </cell>
          <cell r="S241">
            <v>-15161.610969078383</v>
          </cell>
          <cell r="T241">
            <v>-13342.217652788977</v>
          </cell>
          <cell r="U241">
            <v>-11741.1515344543</v>
          </cell>
          <cell r="V241">
            <v>-10332.213350319784</v>
          </cell>
          <cell r="W241">
            <v>-9092.3477482814105</v>
          </cell>
          <cell r="X241">
            <v>-8001.2660184876413</v>
          </cell>
          <cell r="Y241">
            <v>-7041.1140962691243</v>
          </cell>
          <cell r="Z241">
            <v>-6196.1804047168289</v>
          </cell>
        </row>
        <row r="242">
          <cell r="E242" t="str">
            <v>Existing Net PP&amp;E - EoP</v>
          </cell>
          <cell r="F242" t="str">
            <v>[R$'000]</v>
          </cell>
          <cell r="L242">
            <v>270811.45000999997</v>
          </cell>
          <cell r="M242">
            <v>239414.66121999998</v>
          </cell>
          <cell r="N242">
            <v>210684.90187359997</v>
          </cell>
          <cell r="O242">
            <v>185402.71364876797</v>
          </cell>
          <cell r="P242">
            <v>163154.38801091581</v>
          </cell>
          <cell r="Q242">
            <v>143575.8614496059</v>
          </cell>
          <cell r="R242">
            <v>126346.7580756532</v>
          </cell>
          <cell r="S242">
            <v>111185.14710657482</v>
          </cell>
          <cell r="T242">
            <v>97842.929453785837</v>
          </cell>
          <cell r="U242">
            <v>86101.777919331536</v>
          </cell>
          <cell r="V242">
            <v>75769.564569011753</v>
          </cell>
          <cell r="W242">
            <v>66677.216820730348</v>
          </cell>
          <cell r="X242">
            <v>58675.950802242704</v>
          </cell>
          <cell r="Y242">
            <v>51634.836705973576</v>
          </cell>
          <cell r="Z242">
            <v>45438.656301256749</v>
          </cell>
        </row>
        <row r="245">
          <cell r="E245" t="str">
            <v>Capex</v>
          </cell>
          <cell r="F245" t="str">
            <v>[R$'000]</v>
          </cell>
          <cell r="M245">
            <v>10000</v>
          </cell>
          <cell r="N245">
            <v>10000</v>
          </cell>
          <cell r="O245">
            <v>10000</v>
          </cell>
          <cell r="P245">
            <v>10000</v>
          </cell>
          <cell r="Q245">
            <v>10000</v>
          </cell>
          <cell r="R245">
            <v>10000</v>
          </cell>
          <cell r="S245">
            <v>10000</v>
          </cell>
          <cell r="T245">
            <v>10000</v>
          </cell>
          <cell r="U245">
            <v>10000</v>
          </cell>
          <cell r="V245">
            <v>10000</v>
          </cell>
          <cell r="W245">
            <v>10000</v>
          </cell>
          <cell r="X245">
            <v>10000</v>
          </cell>
          <cell r="Y245">
            <v>10000</v>
          </cell>
          <cell r="Z245">
            <v>10000</v>
          </cell>
        </row>
        <row r="246">
          <cell r="E246" t="str">
            <v>Expansion Capex</v>
          </cell>
          <cell r="F246" t="str">
            <v>[R$'000]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row>
        <row r="247">
          <cell r="E247" t="str">
            <v xml:space="preserve">Maintenance Capex </v>
          </cell>
          <cell r="F247" t="str">
            <v>[R$'000]</v>
          </cell>
          <cell r="M247">
            <v>10000</v>
          </cell>
          <cell r="N247">
            <v>10000</v>
          </cell>
          <cell r="O247">
            <v>10000</v>
          </cell>
          <cell r="P247">
            <v>10000</v>
          </cell>
          <cell r="Q247">
            <v>10000</v>
          </cell>
          <cell r="R247">
            <v>10000</v>
          </cell>
          <cell r="S247">
            <v>10000</v>
          </cell>
          <cell r="T247">
            <v>10000</v>
          </cell>
          <cell r="U247">
            <v>10000</v>
          </cell>
          <cell r="V247">
            <v>10000</v>
          </cell>
          <cell r="W247">
            <v>10000</v>
          </cell>
          <cell r="X247">
            <v>10000</v>
          </cell>
          <cell r="Y247">
            <v>10000</v>
          </cell>
          <cell r="Z247">
            <v>10000</v>
          </cell>
        </row>
        <row r="250">
          <cell r="E250" t="str">
            <v>Depreciation Schedule</v>
          </cell>
          <cell r="F250" t="str">
            <v>[%]</v>
          </cell>
          <cell r="G250">
            <v>0.1</v>
          </cell>
        </row>
        <row r="251">
          <cell r="F251">
            <v>2017</v>
          </cell>
          <cell r="G251">
            <v>10000</v>
          </cell>
          <cell r="M251">
            <v>1000</v>
          </cell>
          <cell r="N251">
            <v>1000</v>
          </cell>
          <cell r="O251">
            <v>1000</v>
          </cell>
          <cell r="P251">
            <v>1000</v>
          </cell>
          <cell r="Q251">
            <v>1000</v>
          </cell>
          <cell r="R251">
            <v>1000</v>
          </cell>
          <cell r="S251">
            <v>1000</v>
          </cell>
          <cell r="T251">
            <v>1000</v>
          </cell>
          <cell r="U251">
            <v>1000</v>
          </cell>
          <cell r="V251">
            <v>1000</v>
          </cell>
          <cell r="W251">
            <v>0</v>
          </cell>
          <cell r="X251">
            <v>0</v>
          </cell>
          <cell r="Y251">
            <v>0</v>
          </cell>
          <cell r="Z251">
            <v>0</v>
          </cell>
        </row>
        <row r="252">
          <cell r="F252">
            <v>2018</v>
          </cell>
          <cell r="G252">
            <v>10000</v>
          </cell>
          <cell r="M252">
            <v>0</v>
          </cell>
          <cell r="N252">
            <v>1000</v>
          </cell>
          <cell r="O252">
            <v>1000</v>
          </cell>
          <cell r="P252">
            <v>1000</v>
          </cell>
          <cell r="Q252">
            <v>1000</v>
          </cell>
          <cell r="R252">
            <v>1000</v>
          </cell>
          <cell r="S252">
            <v>1000</v>
          </cell>
          <cell r="T252">
            <v>1000</v>
          </cell>
          <cell r="U252">
            <v>1000</v>
          </cell>
          <cell r="V252">
            <v>1000</v>
          </cell>
          <cell r="W252">
            <v>1000</v>
          </cell>
          <cell r="X252">
            <v>0</v>
          </cell>
          <cell r="Y252">
            <v>0</v>
          </cell>
          <cell r="Z252">
            <v>0</v>
          </cell>
        </row>
        <row r="253">
          <cell r="F253">
            <v>2019</v>
          </cell>
          <cell r="G253">
            <v>10000</v>
          </cell>
          <cell r="M253">
            <v>0</v>
          </cell>
          <cell r="N253">
            <v>0</v>
          </cell>
          <cell r="O253">
            <v>1000</v>
          </cell>
          <cell r="P253">
            <v>1000</v>
          </cell>
          <cell r="Q253">
            <v>1000</v>
          </cell>
          <cell r="R253">
            <v>1000</v>
          </cell>
          <cell r="S253">
            <v>1000</v>
          </cell>
          <cell r="T253">
            <v>1000</v>
          </cell>
          <cell r="U253">
            <v>1000</v>
          </cell>
          <cell r="V253">
            <v>1000</v>
          </cell>
          <cell r="W253">
            <v>1000</v>
          </cell>
          <cell r="X253">
            <v>1000</v>
          </cell>
          <cell r="Y253">
            <v>0</v>
          </cell>
          <cell r="Z253">
            <v>0</v>
          </cell>
        </row>
        <row r="254">
          <cell r="F254">
            <v>2020</v>
          </cell>
          <cell r="G254">
            <v>10000</v>
          </cell>
          <cell r="M254">
            <v>0</v>
          </cell>
          <cell r="N254">
            <v>0</v>
          </cell>
          <cell r="O254">
            <v>0</v>
          </cell>
          <cell r="P254">
            <v>1000</v>
          </cell>
          <cell r="Q254">
            <v>1000</v>
          </cell>
          <cell r="R254">
            <v>1000</v>
          </cell>
          <cell r="S254">
            <v>1000</v>
          </cell>
          <cell r="T254">
            <v>1000</v>
          </cell>
          <cell r="U254">
            <v>1000</v>
          </cell>
          <cell r="V254">
            <v>1000</v>
          </cell>
          <cell r="W254">
            <v>1000</v>
          </cell>
          <cell r="X254">
            <v>1000</v>
          </cell>
          <cell r="Y254">
            <v>1000</v>
          </cell>
          <cell r="Z254">
            <v>0</v>
          </cell>
        </row>
        <row r="255">
          <cell r="F255">
            <v>2021</v>
          </cell>
          <cell r="G255">
            <v>10000</v>
          </cell>
          <cell r="M255">
            <v>0</v>
          </cell>
          <cell r="N255">
            <v>0</v>
          </cell>
          <cell r="O255">
            <v>0</v>
          </cell>
          <cell r="P255">
            <v>0</v>
          </cell>
          <cell r="Q255">
            <v>1000</v>
          </cell>
          <cell r="R255">
            <v>1000</v>
          </cell>
          <cell r="S255">
            <v>1000</v>
          </cell>
          <cell r="T255">
            <v>1000</v>
          </cell>
          <cell r="U255">
            <v>1000</v>
          </cell>
          <cell r="V255">
            <v>1000</v>
          </cell>
          <cell r="W255">
            <v>1000</v>
          </cell>
          <cell r="X255">
            <v>1000</v>
          </cell>
          <cell r="Y255">
            <v>1000</v>
          </cell>
          <cell r="Z255">
            <v>1000</v>
          </cell>
        </row>
        <row r="256">
          <cell r="F256">
            <v>2022</v>
          </cell>
          <cell r="G256">
            <v>10000</v>
          </cell>
          <cell r="M256">
            <v>0</v>
          </cell>
          <cell r="N256">
            <v>0</v>
          </cell>
          <cell r="O256">
            <v>0</v>
          </cell>
          <cell r="P256">
            <v>0</v>
          </cell>
          <cell r="Q256">
            <v>0</v>
          </cell>
          <cell r="R256">
            <v>1000</v>
          </cell>
          <cell r="S256">
            <v>1000</v>
          </cell>
          <cell r="T256">
            <v>1000</v>
          </cell>
          <cell r="U256">
            <v>1000</v>
          </cell>
          <cell r="V256">
            <v>1000</v>
          </cell>
          <cell r="W256">
            <v>1000</v>
          </cell>
          <cell r="X256">
            <v>1000</v>
          </cell>
          <cell r="Y256">
            <v>1000</v>
          </cell>
          <cell r="Z256">
            <v>1000</v>
          </cell>
        </row>
        <row r="257">
          <cell r="F257">
            <v>2023</v>
          </cell>
          <cell r="G257">
            <v>10000</v>
          </cell>
          <cell r="M257">
            <v>0</v>
          </cell>
          <cell r="N257">
            <v>0</v>
          </cell>
          <cell r="O257">
            <v>0</v>
          </cell>
          <cell r="P257">
            <v>0</v>
          </cell>
          <cell r="Q257">
            <v>0</v>
          </cell>
          <cell r="R257">
            <v>0</v>
          </cell>
          <cell r="S257">
            <v>1000</v>
          </cell>
          <cell r="T257">
            <v>1000</v>
          </cell>
          <cell r="U257">
            <v>1000</v>
          </cell>
          <cell r="V257">
            <v>1000</v>
          </cell>
          <cell r="W257">
            <v>1000</v>
          </cell>
          <cell r="X257">
            <v>1000</v>
          </cell>
          <cell r="Y257">
            <v>1000</v>
          </cell>
          <cell r="Z257">
            <v>1000</v>
          </cell>
        </row>
        <row r="258">
          <cell r="F258">
            <v>2024</v>
          </cell>
          <cell r="G258">
            <v>10000</v>
          </cell>
          <cell r="M258">
            <v>0</v>
          </cell>
          <cell r="N258">
            <v>0</v>
          </cell>
          <cell r="O258">
            <v>0</v>
          </cell>
          <cell r="P258">
            <v>0</v>
          </cell>
          <cell r="Q258">
            <v>0</v>
          </cell>
          <cell r="R258">
            <v>0</v>
          </cell>
          <cell r="S258">
            <v>0</v>
          </cell>
          <cell r="T258">
            <v>1000</v>
          </cell>
          <cell r="U258">
            <v>1000</v>
          </cell>
          <cell r="V258">
            <v>1000</v>
          </cell>
          <cell r="W258">
            <v>1000</v>
          </cell>
          <cell r="X258">
            <v>1000</v>
          </cell>
          <cell r="Y258">
            <v>1000</v>
          </cell>
          <cell r="Z258">
            <v>1000</v>
          </cell>
        </row>
        <row r="259">
          <cell r="F259">
            <v>2025</v>
          </cell>
          <cell r="G259">
            <v>10000</v>
          </cell>
          <cell r="M259">
            <v>0</v>
          </cell>
          <cell r="N259">
            <v>0</v>
          </cell>
          <cell r="O259">
            <v>0</v>
          </cell>
          <cell r="P259">
            <v>0</v>
          </cell>
          <cell r="Q259">
            <v>0</v>
          </cell>
          <cell r="R259">
            <v>0</v>
          </cell>
          <cell r="S259">
            <v>0</v>
          </cell>
          <cell r="T259">
            <v>0</v>
          </cell>
          <cell r="U259">
            <v>1000</v>
          </cell>
          <cell r="V259">
            <v>1000</v>
          </cell>
          <cell r="W259">
            <v>1000</v>
          </cell>
          <cell r="X259">
            <v>1000</v>
          </cell>
          <cell r="Y259">
            <v>1000</v>
          </cell>
          <cell r="Z259">
            <v>1000</v>
          </cell>
        </row>
        <row r="260">
          <cell r="F260">
            <v>2026</v>
          </cell>
          <cell r="G260">
            <v>10000</v>
          </cell>
          <cell r="M260">
            <v>0</v>
          </cell>
          <cell r="N260">
            <v>0</v>
          </cell>
          <cell r="O260">
            <v>0</v>
          </cell>
          <cell r="P260">
            <v>0</v>
          </cell>
          <cell r="Q260">
            <v>0</v>
          </cell>
          <cell r="R260">
            <v>0</v>
          </cell>
          <cell r="S260">
            <v>0</v>
          </cell>
          <cell r="T260">
            <v>0</v>
          </cell>
          <cell r="U260">
            <v>0</v>
          </cell>
          <cell r="V260">
            <v>1000</v>
          </cell>
          <cell r="W260">
            <v>1000</v>
          </cell>
          <cell r="X260">
            <v>1000</v>
          </cell>
          <cell r="Y260">
            <v>1000</v>
          </cell>
          <cell r="Z260">
            <v>1000</v>
          </cell>
        </row>
        <row r="261">
          <cell r="F261">
            <v>2027</v>
          </cell>
          <cell r="G261">
            <v>10000</v>
          </cell>
          <cell r="M261">
            <v>0</v>
          </cell>
          <cell r="N261">
            <v>0</v>
          </cell>
          <cell r="O261">
            <v>0</v>
          </cell>
          <cell r="P261">
            <v>0</v>
          </cell>
          <cell r="Q261">
            <v>0</v>
          </cell>
          <cell r="R261">
            <v>0</v>
          </cell>
          <cell r="S261">
            <v>0</v>
          </cell>
          <cell r="T261">
            <v>0</v>
          </cell>
          <cell r="U261">
            <v>0</v>
          </cell>
          <cell r="V261">
            <v>0</v>
          </cell>
          <cell r="W261">
            <v>1000</v>
          </cell>
          <cell r="X261">
            <v>1000</v>
          </cell>
          <cell r="Y261">
            <v>1000</v>
          </cell>
          <cell r="Z261">
            <v>1000</v>
          </cell>
        </row>
        <row r="262">
          <cell r="F262">
            <v>2028</v>
          </cell>
          <cell r="G262">
            <v>10000</v>
          </cell>
          <cell r="M262">
            <v>0</v>
          </cell>
          <cell r="N262">
            <v>0</v>
          </cell>
          <cell r="O262">
            <v>0</v>
          </cell>
          <cell r="P262">
            <v>0</v>
          </cell>
          <cell r="Q262">
            <v>0</v>
          </cell>
          <cell r="R262">
            <v>0</v>
          </cell>
          <cell r="S262">
            <v>0</v>
          </cell>
          <cell r="T262">
            <v>0</v>
          </cell>
          <cell r="U262">
            <v>0</v>
          </cell>
          <cell r="V262">
            <v>0</v>
          </cell>
          <cell r="W262">
            <v>0</v>
          </cell>
          <cell r="X262">
            <v>1000</v>
          </cell>
          <cell r="Y262">
            <v>1000</v>
          </cell>
          <cell r="Z262">
            <v>1000</v>
          </cell>
        </row>
        <row r="263">
          <cell r="F263">
            <v>2029</v>
          </cell>
          <cell r="G263">
            <v>10000</v>
          </cell>
          <cell r="M263">
            <v>0</v>
          </cell>
          <cell r="N263">
            <v>0</v>
          </cell>
          <cell r="O263">
            <v>0</v>
          </cell>
          <cell r="P263">
            <v>0</v>
          </cell>
          <cell r="Q263">
            <v>0</v>
          </cell>
          <cell r="R263">
            <v>0</v>
          </cell>
          <cell r="S263">
            <v>0</v>
          </cell>
          <cell r="T263">
            <v>0</v>
          </cell>
          <cell r="U263">
            <v>0</v>
          </cell>
          <cell r="V263">
            <v>0</v>
          </cell>
          <cell r="W263">
            <v>0</v>
          </cell>
          <cell r="X263">
            <v>0</v>
          </cell>
          <cell r="Y263">
            <v>1000</v>
          </cell>
          <cell r="Z263">
            <v>1000</v>
          </cell>
        </row>
        <row r="264">
          <cell r="F264">
            <v>2030</v>
          </cell>
          <cell r="G264">
            <v>10000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1000</v>
          </cell>
        </row>
        <row r="265">
          <cell r="M265">
            <v>-1000</v>
          </cell>
          <cell r="N265">
            <v>-2000</v>
          </cell>
          <cell r="O265">
            <v>-3000</v>
          </cell>
          <cell r="P265">
            <v>-4000</v>
          </cell>
          <cell r="Q265">
            <v>-5000</v>
          </cell>
          <cell r="R265">
            <v>-6000</v>
          </cell>
          <cell r="S265">
            <v>-7000</v>
          </cell>
          <cell r="T265">
            <v>-8000</v>
          </cell>
          <cell r="U265">
            <v>-9000</v>
          </cell>
          <cell r="V265">
            <v>-10000</v>
          </cell>
          <cell r="W265">
            <v>-10000</v>
          </cell>
          <cell r="X265">
            <v>-10000</v>
          </cell>
          <cell r="Y265">
            <v>-10000</v>
          </cell>
          <cell r="Z265">
            <v>-10000</v>
          </cell>
        </row>
        <row r="268">
          <cell r="B268">
            <v>10</v>
          </cell>
          <cell r="E268" t="str">
            <v>Indebtness</v>
          </cell>
          <cell r="J268">
            <v>2014</v>
          </cell>
          <cell r="K268">
            <v>2015</v>
          </cell>
          <cell r="L268">
            <v>2016</v>
          </cell>
          <cell r="M268">
            <v>2017</v>
          </cell>
          <cell r="N268">
            <v>2018</v>
          </cell>
          <cell r="O268">
            <v>2019</v>
          </cell>
          <cell r="P268">
            <v>2020</v>
          </cell>
          <cell r="Q268">
            <v>2021</v>
          </cell>
          <cell r="R268">
            <v>2022</v>
          </cell>
          <cell r="S268">
            <v>2023</v>
          </cell>
          <cell r="T268">
            <v>2024</v>
          </cell>
          <cell r="U268">
            <v>2025</v>
          </cell>
          <cell r="V268">
            <v>2026</v>
          </cell>
          <cell r="W268">
            <v>2027</v>
          </cell>
          <cell r="X268">
            <v>2028</v>
          </cell>
          <cell r="Y268">
            <v>2029</v>
          </cell>
          <cell r="Z268">
            <v>2030</v>
          </cell>
        </row>
        <row r="270">
          <cell r="E270" t="str">
            <v>Financial Result</v>
          </cell>
          <cell r="F270" t="str">
            <v>[R$ '000]</v>
          </cell>
          <cell r="M270">
            <v>0</v>
          </cell>
          <cell r="N270">
            <v>1984.3086212779542</v>
          </cell>
          <cell r="O270">
            <v>3007.3419670632434</v>
          </cell>
          <cell r="P270">
            <v>4367.2277946234699</v>
          </cell>
          <cell r="Q270">
            <v>5730.1893683285743</v>
          </cell>
          <cell r="R270">
            <v>6958.6443087748339</v>
          </cell>
          <cell r="S270">
            <v>8081.7951852234182</v>
          </cell>
          <cell r="T270">
            <v>9114.3159564981725</v>
          </cell>
          <cell r="U270">
            <v>10077.270235219956</v>
          </cell>
          <cell r="V270">
            <v>10989.194000495127</v>
          </cell>
          <cell r="W270">
            <v>11866.398913937275</v>
          </cell>
          <cell r="X270">
            <v>12638.339237766368</v>
          </cell>
          <cell r="Y270">
            <v>13317.646722735966</v>
          </cell>
          <cell r="Z270">
            <v>13915.437309509216</v>
          </cell>
        </row>
        <row r="271">
          <cell r="E271" t="str">
            <v>Financial income</v>
          </cell>
          <cell r="F271" t="str">
            <v>[R$ '000]</v>
          </cell>
          <cell r="M271">
            <v>0</v>
          </cell>
          <cell r="N271">
            <v>1984.3086212779542</v>
          </cell>
          <cell r="O271">
            <v>3007.3419670632434</v>
          </cell>
          <cell r="P271">
            <v>4367.2277946234699</v>
          </cell>
          <cell r="Q271">
            <v>5730.1893683285743</v>
          </cell>
          <cell r="R271">
            <v>6958.6443087748339</v>
          </cell>
          <cell r="S271">
            <v>8081.7951852234182</v>
          </cell>
          <cell r="T271">
            <v>9114.3159564981725</v>
          </cell>
          <cell r="U271">
            <v>10077.270235219956</v>
          </cell>
          <cell r="V271">
            <v>10989.194000495127</v>
          </cell>
          <cell r="W271">
            <v>11866.398913937275</v>
          </cell>
          <cell r="X271">
            <v>12638.339237766368</v>
          </cell>
          <cell r="Y271">
            <v>13317.646722735966</v>
          </cell>
          <cell r="Z271">
            <v>13915.437309509216</v>
          </cell>
        </row>
        <row r="272">
          <cell r="E272" t="str">
            <v>Financial expense</v>
          </cell>
          <cell r="F272" t="str">
            <v>[R$ '000]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row>
        <row r="274">
          <cell r="E274" t="str">
            <v>Financial income</v>
          </cell>
          <cell r="F274" t="str">
            <v>[R$ '000]</v>
          </cell>
          <cell r="M274">
            <v>0</v>
          </cell>
          <cell r="N274">
            <v>1984.3086212779542</v>
          </cell>
          <cell r="O274">
            <v>3007.3419670632434</v>
          </cell>
          <cell r="P274">
            <v>4367.2277946234699</v>
          </cell>
          <cell r="Q274">
            <v>5730.1893683285743</v>
          </cell>
          <cell r="R274">
            <v>6958.6443087748339</v>
          </cell>
          <cell r="S274">
            <v>8081.7951852234182</v>
          </cell>
          <cell r="T274">
            <v>9114.3159564981725</v>
          </cell>
          <cell r="U274">
            <v>10077.270235219956</v>
          </cell>
          <cell r="V274">
            <v>10989.194000495127</v>
          </cell>
          <cell r="W274">
            <v>11866.398913937275</v>
          </cell>
          <cell r="X274">
            <v>12638.339237766368</v>
          </cell>
          <cell r="Y274">
            <v>13317.646722735966</v>
          </cell>
          <cell r="Z274">
            <v>13915.437309509216</v>
          </cell>
        </row>
        <row r="275">
          <cell r="E275" t="str">
            <v>Cash - BoP</v>
          </cell>
          <cell r="F275" t="str">
            <v>[R$ '000]</v>
          </cell>
          <cell r="M275">
            <v>0</v>
          </cell>
          <cell r="N275">
            <v>23181.175482219089</v>
          </cell>
          <cell r="O275">
            <v>34807.19869286161</v>
          </cell>
          <cell r="P275">
            <v>51078.687656414848</v>
          </cell>
          <cell r="Q275">
            <v>67493.396564529728</v>
          </cell>
          <cell r="R275">
            <v>81962.830492047506</v>
          </cell>
          <cell r="S275">
            <v>95191.93386600021</v>
          </cell>
          <cell r="T275">
            <v>107353.54483507859</v>
          </cell>
          <cell r="U275">
            <v>118695.76248786756</v>
          </cell>
          <cell r="V275">
            <v>129436.91402232186</v>
          </cell>
          <cell r="W275">
            <v>139769.12737264164</v>
          </cell>
          <cell r="X275">
            <v>148861.47512092305</v>
          </cell>
          <cell r="Y275">
            <v>156862.74113941067</v>
          </cell>
          <cell r="Z275">
            <v>163903.8552356798</v>
          </cell>
        </row>
        <row r="276">
          <cell r="E276" t="str">
            <v>Interest</v>
          </cell>
          <cell r="F276" t="str">
            <v>[%]</v>
          </cell>
          <cell r="M276">
            <v>0.10279999999999999</v>
          </cell>
          <cell r="N276">
            <v>8.5600000000000009E-2</v>
          </cell>
          <cell r="O276">
            <v>8.6400000000000005E-2</v>
          </cell>
          <cell r="P276">
            <v>8.5500000000000007E-2</v>
          </cell>
          <cell r="Q276">
            <v>8.4900000000000003E-2</v>
          </cell>
          <cell r="R276">
            <v>8.4900000000000003E-2</v>
          </cell>
          <cell r="S276">
            <v>8.4900000000000003E-2</v>
          </cell>
          <cell r="T276">
            <v>8.4900000000000003E-2</v>
          </cell>
          <cell r="U276">
            <v>8.4900000000000003E-2</v>
          </cell>
          <cell r="V276">
            <v>8.4900000000000003E-2</v>
          </cell>
          <cell r="W276">
            <v>8.4900000000000003E-2</v>
          </cell>
          <cell r="X276">
            <v>8.4900000000000003E-2</v>
          </cell>
          <cell r="Y276">
            <v>8.4900000000000003E-2</v>
          </cell>
          <cell r="Z276">
            <v>8.4900000000000003E-2</v>
          </cell>
        </row>
        <row r="278">
          <cell r="E278" t="str">
            <v>Financial expense</v>
          </cell>
          <cell r="F278" t="str">
            <v>[R$ '000]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row>
        <row r="279">
          <cell r="E279" t="str">
            <v>Loan and Financing - BoP</v>
          </cell>
          <cell r="F279" t="str">
            <v>[R$ '000]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row>
        <row r="280">
          <cell r="E280" t="str">
            <v>Interest</v>
          </cell>
          <cell r="F280" t="str">
            <v>[%]</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row>
        <row r="283">
          <cell r="E283" t="str">
            <v xml:space="preserve">Existing debt - BoP </v>
          </cell>
          <cell r="F283" t="str">
            <v>[R$ '000]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row>
        <row r="284">
          <cell r="E284" t="str">
            <v>(+) Raising</v>
          </cell>
          <cell r="F284" t="str">
            <v>[R$ '000]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row>
        <row r="285">
          <cell r="E285" t="str">
            <v>(+) Amortization</v>
          </cell>
          <cell r="F285" t="str">
            <v>[R$ '000]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row>
        <row r="286">
          <cell r="E286" t="str">
            <v xml:space="preserve">Existing debt - EoP </v>
          </cell>
          <cell r="F286" t="str">
            <v>[R$ '000]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row>
        <row r="289">
          <cell r="E289" t="str">
            <v>Revolver - BoP</v>
          </cell>
          <cell r="F289" t="str">
            <v>[R$ '000]</v>
          </cell>
          <cell r="H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row>
        <row r="290">
          <cell r="E290" t="str">
            <v>(+) Raising</v>
          </cell>
          <cell r="F290" t="str">
            <v>[R$ '000]</v>
          </cell>
          <cell r="H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row>
        <row r="291">
          <cell r="E291" t="str">
            <v>(+) Amortization</v>
          </cell>
          <cell r="F291" t="str">
            <v>[R$ '000]</v>
          </cell>
          <cell r="H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row>
        <row r="292">
          <cell r="E292" t="str">
            <v>Revolver - EoP</v>
          </cell>
          <cell r="F292" t="str">
            <v>[R$ '000]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row>
        <row r="294">
          <cell r="B294">
            <v>11</v>
          </cell>
          <cell r="E294" t="str">
            <v>Income Taxes</v>
          </cell>
          <cell r="J294">
            <v>2014</v>
          </cell>
          <cell r="K294">
            <v>2015</v>
          </cell>
          <cell r="L294">
            <v>2016</v>
          </cell>
          <cell r="M294">
            <v>2017</v>
          </cell>
          <cell r="N294">
            <v>2018</v>
          </cell>
          <cell r="O294">
            <v>2019</v>
          </cell>
          <cell r="P294">
            <v>2020</v>
          </cell>
          <cell r="Q294">
            <v>2021</v>
          </cell>
          <cell r="R294">
            <v>2022</v>
          </cell>
          <cell r="S294">
            <v>2023</v>
          </cell>
          <cell r="T294">
            <v>2024</v>
          </cell>
          <cell r="U294">
            <v>2025</v>
          </cell>
          <cell r="V294">
            <v>2026</v>
          </cell>
          <cell r="W294">
            <v>2027</v>
          </cell>
          <cell r="X294">
            <v>2028</v>
          </cell>
          <cell r="Y294">
            <v>2029</v>
          </cell>
          <cell r="Z294">
            <v>2030</v>
          </cell>
        </row>
        <row r="296">
          <cell r="E296" t="str">
            <v>(=) Income Tax Expense</v>
          </cell>
          <cell r="F296" t="str">
            <v>[R$ '000]</v>
          </cell>
          <cell r="J296">
            <v>0</v>
          </cell>
          <cell r="K296">
            <v>0</v>
          </cell>
          <cell r="L296">
            <v>0</v>
          </cell>
          <cell r="M296">
            <v>-12947.721220544554</v>
          </cell>
          <cell r="N296">
            <v>-8630.3777276899455</v>
          </cell>
          <cell r="O296">
            <v>-13442.44552342492</v>
          </cell>
          <cell r="P296">
            <v>-14112.329923643289</v>
          </cell>
          <cell r="Q296">
            <v>-15460.806642303853</v>
          </cell>
          <cell r="R296">
            <v>-16337.285205757025</v>
          </cell>
          <cell r="S296">
            <v>-17082.103921406811</v>
          </cell>
          <cell r="T296">
            <v>-17711.754711178626</v>
          </cell>
          <cell r="U296">
            <v>-18243.521646177825</v>
          </cell>
          <cell r="V296">
            <v>-18692.614708977118</v>
          </cell>
          <cell r="W296">
            <v>-19412.418684240496</v>
          </cell>
          <cell r="X296">
            <v>-20045.846182472269</v>
          </cell>
          <cell r="Y296">
            <v>-20603.262380916189</v>
          </cell>
          <cell r="Z296">
            <v>-21093.788635546876</v>
          </cell>
        </row>
        <row r="297">
          <cell r="E297" t="str">
            <v>EBT</v>
          </cell>
          <cell r="F297" t="str">
            <v>[R$ '000]</v>
          </cell>
          <cell r="J297">
            <v>-13519.657691566128</v>
          </cell>
          <cell r="K297">
            <v>-26604.64138157944</v>
          </cell>
          <cell r="L297">
            <v>-40145.504842053138</v>
          </cell>
          <cell r="M297">
            <v>38081.533001601631</v>
          </cell>
          <cell r="N297">
            <v>25383.463904970431</v>
          </cell>
          <cell r="O297">
            <v>39536.604480661532</v>
          </cell>
          <cell r="P297">
            <v>41506.85271659791</v>
          </cell>
          <cell r="Q297">
            <v>45472.960712658394</v>
          </cell>
          <cell r="R297">
            <v>48050.838840461845</v>
          </cell>
          <cell r="S297">
            <v>50241.482121784749</v>
          </cell>
          <cell r="T297">
            <v>52093.39620934891</v>
          </cell>
          <cell r="U297">
            <v>53657.416606405372</v>
          </cell>
          <cell r="V297">
            <v>54978.278555815057</v>
          </cell>
          <cell r="W297">
            <v>57095.349071295583</v>
          </cell>
          <cell r="X297">
            <v>58958.371124918442</v>
          </cell>
          <cell r="Y297">
            <v>60597.83053210644</v>
          </cell>
          <cell r="Z297">
            <v>62040.55481043199</v>
          </cell>
        </row>
        <row r="298">
          <cell r="E298" t="str">
            <v>Effective tax rate</v>
          </cell>
          <cell r="F298" t="str">
            <v>[%]</v>
          </cell>
          <cell r="J298">
            <v>0</v>
          </cell>
          <cell r="K298">
            <v>0</v>
          </cell>
          <cell r="L298">
            <v>0</v>
          </cell>
          <cell r="M298">
            <v>0.33999999999999997</v>
          </cell>
          <cell r="N298">
            <v>0.33999999999999997</v>
          </cell>
          <cell r="O298">
            <v>0.33999999999999997</v>
          </cell>
          <cell r="P298">
            <v>0.33999999999999997</v>
          </cell>
          <cell r="Q298">
            <v>0.33999999999999997</v>
          </cell>
          <cell r="R298">
            <v>0.33999999999999997</v>
          </cell>
          <cell r="S298">
            <v>0.33999999999999997</v>
          </cell>
          <cell r="T298">
            <v>0.33999999999999997</v>
          </cell>
          <cell r="U298">
            <v>0.33999999999999997</v>
          </cell>
          <cell r="V298">
            <v>0.33999999999999997</v>
          </cell>
          <cell r="W298">
            <v>0.33999999999999997</v>
          </cell>
          <cell r="X298">
            <v>0.33999999999999997</v>
          </cell>
          <cell r="Y298">
            <v>0.33999999999999997</v>
          </cell>
          <cell r="Z298">
            <v>0.33999999999999997</v>
          </cell>
        </row>
        <row r="300">
          <cell r="B300">
            <v>12</v>
          </cell>
          <cell r="E300" t="str">
            <v>Equity</v>
          </cell>
          <cell r="J300">
            <v>2014</v>
          </cell>
          <cell r="K300">
            <v>2015</v>
          </cell>
          <cell r="L300">
            <v>2016</v>
          </cell>
          <cell r="M300">
            <v>2017</v>
          </cell>
          <cell r="N300">
            <v>2018</v>
          </cell>
          <cell r="O300">
            <v>2019</v>
          </cell>
          <cell r="P300">
            <v>2020</v>
          </cell>
          <cell r="Q300">
            <v>2021</v>
          </cell>
          <cell r="R300">
            <v>2022</v>
          </cell>
          <cell r="S300">
            <v>2023</v>
          </cell>
          <cell r="T300">
            <v>2024</v>
          </cell>
          <cell r="U300">
            <v>2025</v>
          </cell>
          <cell r="V300">
            <v>2026</v>
          </cell>
          <cell r="W300">
            <v>2027</v>
          </cell>
          <cell r="X300">
            <v>2028</v>
          </cell>
          <cell r="Y300">
            <v>2029</v>
          </cell>
          <cell r="Z300">
            <v>2030</v>
          </cell>
        </row>
        <row r="302">
          <cell r="E302" t="str">
            <v>Dividends</v>
          </cell>
        </row>
        <row r="304">
          <cell r="E304" t="str">
            <v>Minimum Cash Balance</v>
          </cell>
          <cell r="F304" t="str">
            <v>[R$ '000]</v>
          </cell>
          <cell r="G304">
            <v>8.3333333333333329E-2</v>
          </cell>
          <cell r="M304">
            <v>23181.175482219089</v>
          </cell>
          <cell r="N304">
            <v>23847.617626681698</v>
          </cell>
          <cell r="O304">
            <v>24823.003234720811</v>
          </cell>
          <cell r="P304">
            <v>24780.477890910308</v>
          </cell>
          <cell r="Q304">
            <v>24808.360512473624</v>
          </cell>
          <cell r="R304">
            <v>24808.360512473624</v>
          </cell>
          <cell r="S304">
            <v>24808.360512473624</v>
          </cell>
          <cell r="T304">
            <v>24808.360512473624</v>
          </cell>
          <cell r="U304">
            <v>24808.360512473624</v>
          </cell>
          <cell r="V304">
            <v>24808.360512473624</v>
          </cell>
          <cell r="W304">
            <v>24808.360512473624</v>
          </cell>
          <cell r="X304">
            <v>24808.360512473624</v>
          </cell>
          <cell r="Y304">
            <v>24808.360512473624</v>
          </cell>
          <cell r="Z304">
            <v>24808.360512473624</v>
          </cell>
        </row>
        <row r="305">
          <cell r="E305" t="str">
            <v>Profit Reserves</v>
          </cell>
          <cell r="F305" t="str">
            <v>[R$ '000]</v>
          </cell>
          <cell r="M305">
            <v>9673.6061140338606</v>
          </cell>
          <cell r="N305">
            <v>0</v>
          </cell>
          <cell r="O305">
            <v>0</v>
          </cell>
          <cell r="P305">
            <v>0</v>
          </cell>
          <cell r="Q305">
            <v>0</v>
          </cell>
          <cell r="R305">
            <v>0</v>
          </cell>
          <cell r="S305">
            <v>0</v>
          </cell>
          <cell r="T305">
            <v>0</v>
          </cell>
          <cell r="U305">
            <v>0</v>
          </cell>
          <cell r="V305">
            <v>0</v>
          </cell>
          <cell r="W305">
            <v>0</v>
          </cell>
          <cell r="X305">
            <v>0</v>
          </cell>
          <cell r="Y305">
            <v>0</v>
          </cell>
          <cell r="Z305">
            <v>0</v>
          </cell>
        </row>
        <row r="306">
          <cell r="E306" t="str">
            <v>Cash - BoP</v>
          </cell>
          <cell r="F306" t="str">
            <v>[R$ '000]</v>
          </cell>
          <cell r="M306">
            <v>0</v>
          </cell>
          <cell r="N306">
            <v>23181.175482219089</v>
          </cell>
          <cell r="O306">
            <v>34807.19869286161</v>
          </cell>
          <cell r="P306">
            <v>51078.687656414848</v>
          </cell>
          <cell r="Q306">
            <v>67493.396564529728</v>
          </cell>
          <cell r="R306">
            <v>81962.830492047506</v>
          </cell>
          <cell r="S306">
            <v>95191.93386600021</v>
          </cell>
          <cell r="T306">
            <v>107353.54483507859</v>
          </cell>
          <cell r="U306">
            <v>118695.76248786756</v>
          </cell>
          <cell r="V306">
            <v>129436.91402232186</v>
          </cell>
          <cell r="W306">
            <v>139769.12737264164</v>
          </cell>
          <cell r="X306">
            <v>148861.47512092305</v>
          </cell>
          <cell r="Y306">
            <v>156862.74113941067</v>
          </cell>
          <cell r="Z306">
            <v>163903.8552356798</v>
          </cell>
        </row>
        <row r="308">
          <cell r="E308" t="str">
            <v xml:space="preserve">(+) Operating Cash Flow </v>
          </cell>
          <cell r="M308">
            <v>48641.381149242305</v>
          </cell>
          <cell r="N308">
            <v>48052.715501956875</v>
          </cell>
          <cell r="O308">
            <v>52365.647920789852</v>
          </cell>
          <cell r="P308">
            <v>53809.231701069504</v>
          </cell>
          <cell r="Q308">
            <v>54481.587997872324</v>
          </cell>
          <cell r="R308">
            <v>54942.657008657523</v>
          </cell>
          <cell r="S308">
            <v>55320.989169456319</v>
          </cell>
          <cell r="T308">
            <v>55723.859150959259</v>
          </cell>
          <cell r="U308">
            <v>56155.046494681847</v>
          </cell>
          <cell r="V308">
            <v>56617.877197157723</v>
          </cell>
          <cell r="W308">
            <v>56775.278135336499</v>
          </cell>
          <cell r="X308">
            <v>56913.790960933809</v>
          </cell>
          <cell r="Y308">
            <v>57035.682247459379</v>
          </cell>
          <cell r="Z308">
            <v>57142.946579601936</v>
          </cell>
        </row>
        <row r="309">
          <cell r="E309" t="str">
            <v xml:space="preserve">(+) Investing Cash Flow </v>
          </cell>
          <cell r="M309">
            <v>-10000</v>
          </cell>
          <cell r="N309">
            <v>-10000</v>
          </cell>
          <cell r="O309">
            <v>-10000</v>
          </cell>
          <cell r="P309">
            <v>-10000</v>
          </cell>
          <cell r="Q309">
            <v>-10000</v>
          </cell>
          <cell r="R309">
            <v>-10000</v>
          </cell>
          <cell r="S309">
            <v>-10000</v>
          </cell>
          <cell r="T309">
            <v>-10000</v>
          </cell>
          <cell r="U309">
            <v>-10000</v>
          </cell>
          <cell r="V309">
            <v>-10000</v>
          </cell>
          <cell r="W309">
            <v>-10000</v>
          </cell>
          <cell r="X309">
            <v>-10000</v>
          </cell>
          <cell r="Y309">
            <v>-10000</v>
          </cell>
          <cell r="Z309">
            <v>-10000</v>
          </cell>
        </row>
        <row r="310">
          <cell r="E310" t="str">
            <v>(+) Existing debt amortization</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row>
        <row r="311">
          <cell r="E311" t="str">
            <v>(+) Capital increase</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row>
        <row r="312">
          <cell r="E312" t="str">
            <v>(+) Revolver amortization</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row>
        <row r="313">
          <cell r="E313" t="str">
            <v>Cash Flow Before Dividends Distribution</v>
          </cell>
          <cell r="M313">
            <v>38641.381149242305</v>
          </cell>
          <cell r="N313">
            <v>38052.715501956875</v>
          </cell>
          <cell r="O313">
            <v>42365.647920789852</v>
          </cell>
          <cell r="P313">
            <v>43809.231701069504</v>
          </cell>
          <cell r="Q313">
            <v>44481.587997872324</v>
          </cell>
          <cell r="R313">
            <v>44942.657008657523</v>
          </cell>
          <cell r="S313">
            <v>45320.989169456319</v>
          </cell>
          <cell r="T313">
            <v>45723.859150959259</v>
          </cell>
          <cell r="U313">
            <v>46155.046494681847</v>
          </cell>
          <cell r="V313">
            <v>46617.877197157723</v>
          </cell>
          <cell r="W313">
            <v>46775.278135336499</v>
          </cell>
          <cell r="X313">
            <v>46913.790960933809</v>
          </cell>
          <cell r="Y313">
            <v>47035.682247459379</v>
          </cell>
          <cell r="Z313">
            <v>47142.946579601936</v>
          </cell>
        </row>
        <row r="315">
          <cell r="E315" t="str">
            <v>Cash - EoP before Dividends distribution</v>
          </cell>
          <cell r="M315">
            <v>38641.381149242305</v>
          </cell>
          <cell r="N315">
            <v>61233.89098417596</v>
          </cell>
          <cell r="O315">
            <v>77172.846613651462</v>
          </cell>
          <cell r="P315">
            <v>94887.919357484352</v>
          </cell>
          <cell r="Q315">
            <v>111974.98456240205</v>
          </cell>
          <cell r="R315">
            <v>126905.48750070503</v>
          </cell>
          <cell r="S315">
            <v>140512.92303545654</v>
          </cell>
          <cell r="T315">
            <v>153077.40398603785</v>
          </cell>
          <cell r="U315">
            <v>164850.80898254941</v>
          </cell>
          <cell r="V315">
            <v>176054.79121947958</v>
          </cell>
          <cell r="W315">
            <v>186544.40550797814</v>
          </cell>
          <cell r="X315">
            <v>195775.26608185685</v>
          </cell>
          <cell r="Y315">
            <v>203898.42338687007</v>
          </cell>
          <cell r="Z315">
            <v>211046.80181528174</v>
          </cell>
        </row>
        <row r="316">
          <cell r="E316" t="str">
            <v>Dividends distribution</v>
          </cell>
          <cell r="M316">
            <v>-15460.205667023216</v>
          </cell>
          <cell r="N316">
            <v>-26426.692291314346</v>
          </cell>
          <cell r="O316">
            <v>-26094.158957236614</v>
          </cell>
          <cell r="P316">
            <v>-27394.522792954624</v>
          </cell>
          <cell r="Q316">
            <v>-30012.15407035454</v>
          </cell>
          <cell r="R316">
            <v>-31713.553634704818</v>
          </cell>
          <cell r="S316">
            <v>-33159.378200377934</v>
          </cell>
          <cell r="T316">
            <v>-34381.641498170284</v>
          </cell>
          <cell r="U316">
            <v>-35413.894960227546</v>
          </cell>
          <cell r="V316">
            <v>-36285.663846837939</v>
          </cell>
          <cell r="W316">
            <v>-37682.930387055087</v>
          </cell>
          <cell r="X316">
            <v>-38912.524942446173</v>
          </cell>
          <cell r="Y316">
            <v>-39994.568151190251</v>
          </cell>
          <cell r="Z316">
            <v>-40946.76617488511</v>
          </cell>
        </row>
        <row r="317">
          <cell r="E317" t="str">
            <v>Additional dividends distribution</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row>
        <row r="318">
          <cell r="E318" t="str">
            <v>Revolver</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row>
        <row r="319">
          <cell r="E319" t="str">
            <v xml:space="preserve">Cash - EoP </v>
          </cell>
          <cell r="M319">
            <v>23181.175482219089</v>
          </cell>
          <cell r="N319">
            <v>34807.19869286161</v>
          </cell>
          <cell r="O319">
            <v>51078.687656414848</v>
          </cell>
          <cell r="P319">
            <v>67493.396564529728</v>
          </cell>
          <cell r="Q319">
            <v>81962.830492047506</v>
          </cell>
          <cell r="R319">
            <v>95191.93386600021</v>
          </cell>
          <cell r="S319">
            <v>107353.5448350786</v>
          </cell>
          <cell r="T319">
            <v>118695.76248786757</v>
          </cell>
          <cell r="U319">
            <v>129436.91402232187</v>
          </cell>
          <cell r="V319">
            <v>139769.12737264164</v>
          </cell>
          <cell r="W319">
            <v>148861.47512092305</v>
          </cell>
          <cell r="X319">
            <v>156862.74113941067</v>
          </cell>
          <cell r="Y319">
            <v>163903.85523567983</v>
          </cell>
          <cell r="Z319">
            <v>170100.03564039664</v>
          </cell>
        </row>
        <row r="321">
          <cell r="E321" t="str">
            <v>Excess cash available for dividends distribution</v>
          </cell>
          <cell r="M321">
            <v>15460.205667023216</v>
          </cell>
          <cell r="N321">
            <v>37386.273357494261</v>
          </cell>
          <cell r="O321">
            <v>52349.843378930651</v>
          </cell>
          <cell r="P321">
            <v>70107.441466574048</v>
          </cell>
          <cell r="Q321">
            <v>87166.624049928432</v>
          </cell>
          <cell r="R321">
            <v>102097.12698823141</v>
          </cell>
          <cell r="S321">
            <v>115704.56252298292</v>
          </cell>
          <cell r="T321">
            <v>128269.04347356423</v>
          </cell>
          <cell r="U321">
            <v>140042.44847007579</v>
          </cell>
          <cell r="V321">
            <v>151246.43070700596</v>
          </cell>
          <cell r="W321">
            <v>161736.04499550452</v>
          </cell>
          <cell r="X321">
            <v>170966.90556938323</v>
          </cell>
          <cell r="Y321">
            <v>179090.06287439645</v>
          </cell>
          <cell r="Z321">
            <v>186238.44130280812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1"/>
      <sheetName val="RESUMO 2"/>
      <sheetName val="SC"/>
      <sheetName val="AN"/>
      <sheetName val="USB"/>
      <sheetName val="CSG"/>
      <sheetName val="CSG2"/>
      <sheetName val="SG"/>
      <sheetName val="SR"/>
      <sheetName val="BSW"/>
      <sheetName val="Custos Unitários"/>
      <sheetName val="Dados Gerais"/>
      <sheetName val="REAC1"/>
      <sheetName val="REAC2"/>
      <sheetName val="MDCF"/>
      <sheetName val="Dados Mundo"/>
      <sheetName val="15_DEPREC_IMOB_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2005Q1"/>
      <sheetName val="Primary 2005Q1"/>
      <sheetName val="Key 2006Q1"/>
      <sheetName val="Primary 2006Q1"/>
    </sheetNames>
    <sheetDataSet>
      <sheetData sheetId="0" refreshError="1"/>
      <sheetData sheetId="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EMPRESAS"/>
      <sheetName val="KM"/>
      <sheetName val="Km URBANA"/>
      <sheetName val="Km METROP"/>
      <sheetName val="DADOS"/>
      <sheetName val="B.VARIAVEIS"/>
      <sheetName val="CUSTOS"/>
      <sheetName val="URBANO 1ª PARTE"/>
      <sheetName val="DIARIAS"/>
      <sheetName val="DIARIA URBANO"/>
      <sheetName val=" URBANO 2ª PARTE"/>
      <sheetName val="MET. 1ª PARTE"/>
      <sheetName val="DIARIA MET."/>
      <sheetName val="MET. 2ª PARTE"/>
      <sheetName val="_URBANO 2ª PA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to"/>
      <sheetName val="Matriz"/>
      <sheetName val="DESC"/>
      <sheetName val="5W1H"/>
      <sheetName val="3 Ger(jan)"/>
      <sheetName val="CRONOG."/>
      <sheetName val="CRONAUX"/>
      <sheetName val="Macros_PAçã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Confirmação Saldo"/>
      <sheetName val="PPC Mútuo Dez.03"/>
      <sheetName val="PPC Mútuo Jun.03"/>
      <sheetName val="Movim. Jun.03"/>
      <sheetName val="XREF"/>
      <sheetName val="Tickmarks"/>
    </sheetNames>
    <sheetDataSet>
      <sheetData sheetId="0" refreshError="1">
        <row r="15">
          <cell r="F15">
            <v>-42380866.32</v>
          </cell>
        </row>
      </sheetData>
      <sheetData sheetId="1"/>
      <sheetData sheetId="2"/>
      <sheetData sheetId="3" refreshError="1">
        <row r="11">
          <cell r="S11">
            <v>-4613863.3600000003</v>
          </cell>
          <cell r="T11" t="str">
            <v>!</v>
          </cell>
        </row>
        <row r="47">
          <cell r="S47">
            <v>-10552770.940000005</v>
          </cell>
          <cell r="T47" t="str">
            <v>!</v>
          </cell>
        </row>
        <row r="79">
          <cell r="S79">
            <v>-241212.5</v>
          </cell>
          <cell r="T79" t="str">
            <v>!</v>
          </cell>
        </row>
        <row r="131">
          <cell r="S131">
            <v>-539852.96</v>
          </cell>
          <cell r="T131" t="str">
            <v>!</v>
          </cell>
        </row>
      </sheetData>
      <sheetData sheetId="4"/>
      <sheetData sheetId="5"/>
      <sheetData sheetId="6" refreshError="1">
        <row r="2">
          <cell r="A2">
            <v>-61388643</v>
          </cell>
          <cell r="B2">
            <v>-61388643</v>
          </cell>
          <cell r="D2" t="str">
            <v>Empresas relacionadas - Set 03</v>
          </cell>
          <cell r="E2" t="str">
            <v>!</v>
          </cell>
        </row>
        <row r="3">
          <cell r="A3">
            <v>-4613863.3600000003</v>
          </cell>
          <cell r="B3">
            <v>-4613863.3600000003</v>
          </cell>
          <cell r="D3" t="str">
            <v>Despesas operac. financeiras Leadsheet</v>
          </cell>
          <cell r="E3" t="str">
            <v>!</v>
          </cell>
        </row>
        <row r="4">
          <cell r="A4">
            <v>-241212.5</v>
          </cell>
          <cell r="B4">
            <v>-241212.5</v>
          </cell>
          <cell r="D4" t="str">
            <v>Despesas operac. financeiras Leadsheet</v>
          </cell>
          <cell r="E4" t="str">
            <v>!</v>
          </cell>
        </row>
        <row r="5">
          <cell r="A5">
            <v>-539852.96</v>
          </cell>
          <cell r="B5">
            <v>-539852.96</v>
          </cell>
          <cell r="D5" t="str">
            <v>Despesas operac. financeiras Leadsheet</v>
          </cell>
          <cell r="E5" t="str">
            <v>!</v>
          </cell>
        </row>
        <row r="6">
          <cell r="A6">
            <v>-10552770.940000005</v>
          </cell>
          <cell r="B6">
            <v>-10552770.939999999</v>
          </cell>
          <cell r="D6" t="str">
            <v>Despesas operac. financeiras Leadsheet</v>
          </cell>
          <cell r="E6" t="str">
            <v>!</v>
          </cell>
        </row>
      </sheetData>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cb.gov.br/pt-br" TargetMode="External"/><Relationship Id="rId1" Type="http://schemas.openxmlformats.org/officeDocument/2006/relationships/hyperlink" Target="https://www.inflation.eu/pt/taxas-de-inflacao/estados-unidos/inflacao-historica/ipc-inflacao-estados-unidos-2023.aspx"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9.bin"/><Relationship Id="rId4" Type="http://schemas.openxmlformats.org/officeDocument/2006/relationships/ctrlProp" Target="../ctrlProps/ctrlProp1.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40.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1.bin"/><Relationship Id="rId4" Type="http://schemas.openxmlformats.org/officeDocument/2006/relationships/ctrlProp" Target="../ctrlProps/ctrlProp19.x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CC229-F49C-4261-BFFD-6D2607249D1E}">
  <sheetPr>
    <tabColor rgb="FFFFC000"/>
  </sheetPr>
  <dimension ref="A1:M161"/>
  <sheetViews>
    <sheetView tabSelected="1" view="pageBreakPreview" zoomScale="85" zoomScaleNormal="100" zoomScaleSheetLayoutView="85" workbookViewId="0">
      <selection activeCell="B1" sqref="B1"/>
    </sheetView>
  </sheetViews>
  <sheetFormatPr defaultRowHeight="15" x14ac:dyDescent="0.25"/>
  <cols>
    <col min="1" max="1" width="9.140625" style="60"/>
    <col min="2" max="2" width="65.140625" style="60" customWidth="1"/>
    <col min="3" max="5" width="14" style="60" customWidth="1"/>
    <col min="6" max="6" width="13.85546875" style="60" bestFit="1" customWidth="1"/>
    <col min="7" max="7" width="9.140625" style="60"/>
    <col min="8" max="8" width="16.140625" style="60" bestFit="1" customWidth="1"/>
    <col min="9" max="9" width="15.140625" style="60" customWidth="1"/>
    <col min="10" max="10" width="14" style="60" bestFit="1" customWidth="1"/>
    <col min="11" max="11" width="14.42578125" style="60" bestFit="1" customWidth="1"/>
    <col min="12" max="12" width="13.85546875" style="60" bestFit="1" customWidth="1"/>
    <col min="13" max="13" width="14.42578125" style="60" bestFit="1" customWidth="1"/>
    <col min="14" max="16384" width="9.140625" style="60"/>
  </cols>
  <sheetData>
    <row r="1" spans="2:10" x14ac:dyDescent="0.25">
      <c r="B1" s="560" t="s">
        <v>1406</v>
      </c>
    </row>
    <row r="3" spans="2:10" x14ac:dyDescent="0.25">
      <c r="B3" s="12" t="s">
        <v>223</v>
      </c>
    </row>
    <row r="4" spans="2:10" x14ac:dyDescent="0.25">
      <c r="B4" s="60" t="s">
        <v>1077</v>
      </c>
      <c r="C4" s="60" t="s">
        <v>12</v>
      </c>
      <c r="D4" s="60" t="s">
        <v>13</v>
      </c>
      <c r="E4" s="60" t="s">
        <v>14</v>
      </c>
      <c r="J4" s="496"/>
    </row>
    <row r="5" spans="2:10" x14ac:dyDescent="0.25">
      <c r="B5" s="87" t="s">
        <v>1078</v>
      </c>
      <c r="C5" s="970"/>
      <c r="D5" s="970"/>
      <c r="E5" s="265"/>
      <c r="J5" s="496"/>
    </row>
    <row r="6" spans="2:10" x14ac:dyDescent="0.25">
      <c r="B6" s="87" t="s">
        <v>1079</v>
      </c>
      <c r="C6" s="970"/>
      <c r="D6" s="970"/>
      <c r="E6" s="265"/>
      <c r="J6" s="496"/>
    </row>
    <row r="7" spans="2:10" x14ac:dyDescent="0.25">
      <c r="B7" s="87" t="s">
        <v>1080</v>
      </c>
      <c r="C7" s="970"/>
      <c r="D7" s="970"/>
      <c r="E7" s="265"/>
      <c r="J7" s="496"/>
    </row>
    <row r="8" spans="2:10" x14ac:dyDescent="0.25">
      <c r="B8" s="87" t="s">
        <v>1081</v>
      </c>
      <c r="C8" s="970"/>
      <c r="D8" s="970"/>
      <c r="E8" s="265"/>
      <c r="J8" s="496"/>
    </row>
    <row r="9" spans="2:10" x14ac:dyDescent="0.25">
      <c r="B9" s="87" t="s">
        <v>1082</v>
      </c>
      <c r="C9" s="970"/>
      <c r="D9" s="970"/>
      <c r="E9" s="265"/>
      <c r="J9" s="496"/>
    </row>
    <row r="10" spans="2:10" x14ac:dyDescent="0.25">
      <c r="B10" s="87" t="s">
        <v>1083</v>
      </c>
      <c r="C10" s="970"/>
      <c r="D10" s="970"/>
      <c r="E10" s="265">
        <v>4</v>
      </c>
      <c r="H10" s="567"/>
      <c r="J10" s="561"/>
    </row>
    <row r="11" spans="2:10" x14ac:dyDescent="0.25">
      <c r="B11" s="87" t="s">
        <v>1084</v>
      </c>
      <c r="C11" s="970"/>
      <c r="D11" s="970"/>
      <c r="E11" s="265"/>
      <c r="J11" s="561"/>
    </row>
    <row r="12" spans="2:10" x14ac:dyDescent="0.25">
      <c r="B12" s="87" t="s">
        <v>1085</v>
      </c>
      <c r="C12" s="970"/>
      <c r="D12" s="970"/>
      <c r="E12" s="265">
        <v>3</v>
      </c>
      <c r="H12" s="884"/>
      <c r="I12" s="568"/>
      <c r="J12" s="496"/>
    </row>
    <row r="13" spans="2:10" x14ac:dyDescent="0.25">
      <c r="B13" s="87" t="s">
        <v>1086</v>
      </c>
      <c r="C13" s="970"/>
      <c r="D13" s="970"/>
      <c r="E13" s="265"/>
      <c r="H13" s="884"/>
      <c r="I13" s="568"/>
      <c r="J13" s="496"/>
    </row>
    <row r="14" spans="2:10" x14ac:dyDescent="0.25">
      <c r="B14" s="87" t="s">
        <v>1087</v>
      </c>
      <c r="C14" s="970"/>
      <c r="D14" s="970"/>
      <c r="E14" s="265">
        <v>4</v>
      </c>
      <c r="H14" s="884"/>
      <c r="I14" s="568"/>
    </row>
    <row r="15" spans="2:10" x14ac:dyDescent="0.25">
      <c r="B15" s="87" t="s">
        <v>1088</v>
      </c>
      <c r="C15" s="970"/>
      <c r="D15" s="970"/>
      <c r="E15" s="265"/>
    </row>
    <row r="16" spans="2:10" x14ac:dyDescent="0.25">
      <c r="B16" s="237" t="s">
        <v>1074</v>
      </c>
      <c r="C16" s="238">
        <f>SUM(C5:C15)</f>
        <v>0</v>
      </c>
      <c r="D16" s="239">
        <f t="shared" ref="D16:E16" si="0">SUM(D5:D15)</f>
        <v>0</v>
      </c>
      <c r="E16" s="238">
        <f t="shared" si="0"/>
        <v>11</v>
      </c>
    </row>
    <row r="17" spans="1:11" x14ac:dyDescent="0.25">
      <c r="B17" s="236"/>
    </row>
    <row r="18" spans="1:11" x14ac:dyDescent="0.25">
      <c r="B18" s="60" t="s">
        <v>1167</v>
      </c>
      <c r="C18" s="240">
        <v>0.8</v>
      </c>
      <c r="E18" s="238">
        <f>'ANTP_1.4 Indicadores'!E19</f>
        <v>9</v>
      </c>
      <c r="F18" s="241" t="s">
        <v>1168</v>
      </c>
    </row>
    <row r="19" spans="1:11" x14ac:dyDescent="0.25">
      <c r="B19" s="60" t="s">
        <v>1169</v>
      </c>
      <c r="C19" s="240">
        <f>1-C18</f>
        <v>0.19999999999999996</v>
      </c>
      <c r="E19" s="238">
        <f>'ANTP_1.4 Indicadores'!E20</f>
        <v>2</v>
      </c>
      <c r="F19" s="241" t="s">
        <v>1168</v>
      </c>
      <c r="J19" s="880"/>
    </row>
    <row r="20" spans="1:11" x14ac:dyDescent="0.25">
      <c r="J20" s="880"/>
    </row>
    <row r="21" spans="1:11" x14ac:dyDescent="0.25">
      <c r="B21" s="12" t="s">
        <v>1164</v>
      </c>
      <c r="K21" s="880"/>
    </row>
    <row r="22" spans="1:11" x14ac:dyDescent="0.25">
      <c r="C22" s="60" t="s">
        <v>12</v>
      </c>
      <c r="D22" s="60" t="s">
        <v>13</v>
      </c>
      <c r="E22" s="60" t="s">
        <v>14</v>
      </c>
      <c r="H22" s="951"/>
    </row>
    <row r="23" spans="1:11" x14ac:dyDescent="0.25">
      <c r="B23" s="60" t="s">
        <v>1089</v>
      </c>
      <c r="C23" s="266">
        <v>0.32</v>
      </c>
      <c r="D23" s="266">
        <v>0.36</v>
      </c>
      <c r="E23" s="266">
        <v>0.39</v>
      </c>
      <c r="F23" s="241" t="s">
        <v>213</v>
      </c>
      <c r="I23" s="884"/>
      <c r="J23" s="884"/>
      <c r="K23" s="884"/>
    </row>
    <row r="24" spans="1:11" x14ac:dyDescent="0.25">
      <c r="B24" s="60" t="s">
        <v>1090</v>
      </c>
      <c r="C24" s="947">
        <v>525500</v>
      </c>
      <c r="D24" s="947">
        <v>703800</v>
      </c>
      <c r="E24" s="947">
        <v>743200</v>
      </c>
      <c r="F24" s="11" t="s">
        <v>55</v>
      </c>
      <c r="I24" s="496"/>
      <c r="J24" s="496"/>
      <c r="K24" s="496"/>
    </row>
    <row r="25" spans="1:11" x14ac:dyDescent="0.25">
      <c r="I25" s="568"/>
      <c r="J25" s="568"/>
      <c r="K25" s="568"/>
    </row>
    <row r="26" spans="1:11" x14ac:dyDescent="0.25">
      <c r="B26" s="222" t="s">
        <v>1165</v>
      </c>
      <c r="C26" s="11"/>
      <c r="D26" s="11"/>
      <c r="E26" s="11"/>
      <c r="H26" s="11"/>
    </row>
    <row r="27" spans="1:11" x14ac:dyDescent="0.25">
      <c r="A27" s="14"/>
      <c r="B27" s="11" t="s">
        <v>1091</v>
      </c>
      <c r="C27" s="242"/>
      <c r="D27" s="266">
        <v>5.6079999999999997</v>
      </c>
      <c r="F27" s="11" t="s">
        <v>49</v>
      </c>
    </row>
    <row r="28" spans="1:11" ht="30" customHeight="1" x14ac:dyDescent="0.25">
      <c r="A28" s="14"/>
      <c r="B28" s="243" t="s">
        <v>1094</v>
      </c>
      <c r="C28" s="244"/>
      <c r="D28" s="268">
        <v>2.6499999999999999E-2</v>
      </c>
      <c r="E28" s="197"/>
      <c r="F28" s="241" t="s">
        <v>213</v>
      </c>
      <c r="H28" s="951"/>
    </row>
    <row r="29" spans="1:11" x14ac:dyDescent="0.25">
      <c r="A29" s="14"/>
      <c r="B29" s="11" t="s">
        <v>1092</v>
      </c>
      <c r="C29" s="242"/>
      <c r="D29" s="233">
        <v>3.5</v>
      </c>
      <c r="F29" s="11" t="s">
        <v>49</v>
      </c>
      <c r="I29" s="884"/>
      <c r="J29" s="950"/>
      <c r="K29" s="884"/>
    </row>
    <row r="30" spans="1:11" ht="15" customHeight="1" x14ac:dyDescent="0.25">
      <c r="A30" s="14"/>
      <c r="B30" s="243" t="s">
        <v>1093</v>
      </c>
      <c r="C30" s="244"/>
      <c r="D30" s="234">
        <v>0.04</v>
      </c>
      <c r="E30" s="197"/>
      <c r="F30" s="241" t="s">
        <v>52</v>
      </c>
      <c r="I30" s="884"/>
      <c r="J30" s="950"/>
      <c r="K30" s="884"/>
    </row>
    <row r="31" spans="1:11" x14ac:dyDescent="0.25">
      <c r="A31" s="14"/>
      <c r="B31" s="241" t="s">
        <v>1134</v>
      </c>
      <c r="C31" s="11"/>
      <c r="D31" s="235"/>
      <c r="F31" s="11" t="s">
        <v>55</v>
      </c>
      <c r="I31" s="884"/>
      <c r="J31" s="950"/>
      <c r="K31" s="884"/>
    </row>
    <row r="32" spans="1:11" x14ac:dyDescent="0.25">
      <c r="A32" s="14"/>
      <c r="B32" s="241" t="s">
        <v>1095</v>
      </c>
      <c r="C32" s="11"/>
      <c r="D32" s="235">
        <v>1970.4</v>
      </c>
      <c r="F32" s="11" t="s">
        <v>55</v>
      </c>
      <c r="I32" s="884"/>
      <c r="J32" s="884"/>
      <c r="K32" s="884"/>
    </row>
    <row r="33" spans="1:13" x14ac:dyDescent="0.25">
      <c r="A33" s="14"/>
      <c r="B33" s="241" t="s">
        <v>1135</v>
      </c>
      <c r="C33" s="11"/>
      <c r="D33" s="267">
        <v>0</v>
      </c>
      <c r="F33" s="11" t="s">
        <v>55</v>
      </c>
    </row>
    <row r="34" spans="1:13" x14ac:dyDescent="0.25">
      <c r="A34" s="14"/>
      <c r="B34" s="241" t="s">
        <v>1137</v>
      </c>
      <c r="C34" s="11"/>
      <c r="D34" s="235">
        <v>0</v>
      </c>
      <c r="F34" s="11" t="s">
        <v>55</v>
      </c>
    </row>
    <row r="35" spans="1:13" x14ac:dyDescent="0.25">
      <c r="A35" s="14"/>
      <c r="B35" s="241" t="s">
        <v>1096</v>
      </c>
      <c r="C35" s="11"/>
      <c r="D35" s="267">
        <v>600</v>
      </c>
      <c r="F35" s="11" t="s">
        <v>55</v>
      </c>
    </row>
    <row r="36" spans="1:13" x14ac:dyDescent="0.25">
      <c r="A36" s="14"/>
      <c r="B36" s="241" t="s">
        <v>1136</v>
      </c>
      <c r="C36" s="11"/>
      <c r="D36" s="267">
        <v>0</v>
      </c>
      <c r="F36" s="11" t="s">
        <v>55</v>
      </c>
    </row>
    <row r="37" spans="1:13" x14ac:dyDescent="0.25">
      <c r="A37" s="14"/>
      <c r="B37" s="241"/>
      <c r="C37" s="11"/>
      <c r="F37" s="11"/>
    </row>
    <row r="38" spans="1:13" x14ac:dyDescent="0.25">
      <c r="A38" s="14"/>
      <c r="B38" s="222" t="s">
        <v>1370</v>
      </c>
      <c r="C38" s="11"/>
      <c r="F38" s="11"/>
    </row>
    <row r="39" spans="1:13" ht="30" x14ac:dyDescent="0.25">
      <c r="A39" s="14"/>
      <c r="B39" s="243" t="s">
        <v>1371</v>
      </c>
      <c r="C39" s="11"/>
      <c r="D39" s="234">
        <v>1.4999999999999999E-2</v>
      </c>
      <c r="F39" s="245" t="s">
        <v>52</v>
      </c>
    </row>
    <row r="40" spans="1:13" x14ac:dyDescent="0.25">
      <c r="A40" s="14"/>
      <c r="B40" s="11"/>
      <c r="C40" s="16"/>
    </row>
    <row r="41" spans="1:13" x14ac:dyDescent="0.25">
      <c r="A41" s="14"/>
      <c r="B41" s="61" t="s">
        <v>48</v>
      </c>
      <c r="C41" s="11"/>
      <c r="D41" s="11"/>
      <c r="E41" s="11"/>
    </row>
    <row r="42" spans="1:13" x14ac:dyDescent="0.25">
      <c r="A42" s="14"/>
      <c r="B42" s="11" t="s">
        <v>1097</v>
      </c>
      <c r="C42" s="242"/>
      <c r="D42" s="581">
        <v>1996.23</v>
      </c>
      <c r="F42" s="11" t="s">
        <v>152</v>
      </c>
      <c r="K42" s="260"/>
    </row>
    <row r="43" spans="1:13" x14ac:dyDescent="0.25">
      <c r="A43" s="14"/>
      <c r="B43" s="11" t="s">
        <v>1098</v>
      </c>
      <c r="C43" s="242"/>
      <c r="D43" s="267">
        <v>0</v>
      </c>
      <c r="F43" s="11" t="s">
        <v>152</v>
      </c>
      <c r="K43" s="260"/>
      <c r="M43" s="574"/>
    </row>
    <row r="44" spans="1:13" x14ac:dyDescent="0.25">
      <c r="A44" s="14"/>
      <c r="B44" s="11" t="s">
        <v>1099</v>
      </c>
      <c r="C44" s="242"/>
      <c r="D44" s="267">
        <v>0</v>
      </c>
      <c r="F44" s="11" t="s">
        <v>152</v>
      </c>
    </row>
    <row r="45" spans="1:13" x14ac:dyDescent="0.25">
      <c r="A45" s="14"/>
      <c r="B45" s="11" t="s">
        <v>1100</v>
      </c>
      <c r="C45" s="242"/>
      <c r="D45" s="267">
        <v>0</v>
      </c>
      <c r="F45" s="11" t="s">
        <v>152</v>
      </c>
      <c r="K45" s="286"/>
    </row>
    <row r="46" spans="1:13" x14ac:dyDescent="0.25">
      <c r="A46" s="14"/>
      <c r="B46" s="11" t="s">
        <v>1101</v>
      </c>
      <c r="C46" s="242"/>
      <c r="D46" s="581">
        <v>808.24</v>
      </c>
      <c r="F46" s="11" t="s">
        <v>152</v>
      </c>
      <c r="K46" s="568"/>
    </row>
    <row r="47" spans="1:13" x14ac:dyDescent="0.25">
      <c r="A47" s="14"/>
      <c r="B47" s="11" t="s">
        <v>1102</v>
      </c>
      <c r="C47" s="242"/>
      <c r="D47" s="581">
        <v>0</v>
      </c>
      <c r="F47" s="11" t="s">
        <v>152</v>
      </c>
      <c r="K47" s="582"/>
    </row>
    <row r="48" spans="1:13" x14ac:dyDescent="0.25">
      <c r="A48" s="14"/>
      <c r="B48" s="11" t="s">
        <v>1103</v>
      </c>
      <c r="C48" s="242"/>
      <c r="D48" s="267">
        <v>0</v>
      </c>
      <c r="F48" s="11" t="s">
        <v>152</v>
      </c>
    </row>
    <row r="49" spans="1:10" x14ac:dyDescent="0.25">
      <c r="A49" s="14"/>
      <c r="B49" s="11" t="s">
        <v>1104</v>
      </c>
      <c r="C49" s="242"/>
      <c r="D49" s="267">
        <v>0</v>
      </c>
      <c r="F49" s="11" t="s">
        <v>152</v>
      </c>
      <c r="J49" s="570"/>
    </row>
    <row r="50" spans="1:10" x14ac:dyDescent="0.25">
      <c r="A50" s="14"/>
      <c r="B50" s="11" t="s">
        <v>1105</v>
      </c>
      <c r="C50" s="242"/>
      <c r="D50" s="269">
        <v>2.278</v>
      </c>
      <c r="F50" s="241" t="s">
        <v>52</v>
      </c>
      <c r="H50" s="575"/>
    </row>
    <row r="51" spans="1:10" x14ac:dyDescent="0.25">
      <c r="A51" s="14"/>
      <c r="B51" s="11" t="s">
        <v>1106</v>
      </c>
      <c r="C51" s="242"/>
      <c r="D51" s="269">
        <v>0</v>
      </c>
      <c r="F51" s="241" t="s">
        <v>52</v>
      </c>
    </row>
    <row r="52" spans="1:10" x14ac:dyDescent="0.25">
      <c r="A52" s="14"/>
      <c r="B52" s="11" t="s">
        <v>1107</v>
      </c>
      <c r="C52" s="242"/>
      <c r="D52" s="269">
        <v>0</v>
      </c>
      <c r="F52" s="241" t="s">
        <v>52</v>
      </c>
    </row>
    <row r="53" spans="1:10" x14ac:dyDescent="0.25">
      <c r="A53" s="14"/>
      <c r="B53" s="11" t="s">
        <v>1108</v>
      </c>
      <c r="C53" s="242"/>
      <c r="D53" s="269">
        <v>0</v>
      </c>
      <c r="F53" s="241" t="s">
        <v>52</v>
      </c>
    </row>
    <row r="54" spans="1:10" x14ac:dyDescent="0.25">
      <c r="A54" s="14"/>
      <c r="B54" s="11" t="s">
        <v>1109</v>
      </c>
      <c r="C54" s="242"/>
      <c r="D54" s="269">
        <v>2.2530000000000001</v>
      </c>
      <c r="F54" s="241" t="s">
        <v>52</v>
      </c>
    </row>
    <row r="55" spans="1:10" x14ac:dyDescent="0.25">
      <c r="A55" s="14"/>
      <c r="B55" s="11" t="s">
        <v>1110</v>
      </c>
      <c r="C55" s="242"/>
      <c r="D55" s="269">
        <v>0</v>
      </c>
      <c r="F55" s="241" t="s">
        <v>52</v>
      </c>
    </row>
    <row r="56" spans="1:10" x14ac:dyDescent="0.25">
      <c r="A56" s="14"/>
      <c r="B56" s="11" t="s">
        <v>1111</v>
      </c>
      <c r="C56" s="242"/>
      <c r="D56" s="269">
        <v>0</v>
      </c>
      <c r="F56" s="241" t="s">
        <v>52</v>
      </c>
    </row>
    <row r="57" spans="1:10" x14ac:dyDescent="0.25">
      <c r="A57" s="14"/>
      <c r="B57" s="11" t="s">
        <v>1112</v>
      </c>
      <c r="C57" s="242"/>
      <c r="D57" s="269">
        <v>0</v>
      </c>
      <c r="F57" s="241" t="s">
        <v>52</v>
      </c>
    </row>
    <row r="58" spans="1:10" x14ac:dyDescent="0.25">
      <c r="A58" s="14"/>
      <c r="B58" s="11" t="s">
        <v>1113</v>
      </c>
      <c r="C58" s="242"/>
      <c r="D58" s="246">
        <v>42.07</v>
      </c>
      <c r="F58" s="11" t="s">
        <v>68</v>
      </c>
    </row>
    <row r="59" spans="1:10" ht="30" x14ac:dyDescent="0.25">
      <c r="A59" s="247"/>
      <c r="B59" s="243" t="s">
        <v>1114</v>
      </c>
      <c r="C59" s="244"/>
      <c r="D59" s="967">
        <v>54</v>
      </c>
      <c r="E59" s="197"/>
      <c r="F59" s="241" t="s">
        <v>68</v>
      </c>
      <c r="H59" s="884"/>
      <c r="I59" s="884"/>
    </row>
    <row r="60" spans="1:10" x14ac:dyDescent="0.25">
      <c r="A60" s="14"/>
      <c r="B60" s="11"/>
      <c r="C60" s="11"/>
      <c r="D60" s="11"/>
      <c r="E60" s="11"/>
    </row>
    <row r="61" spans="1:10" x14ac:dyDescent="0.25">
      <c r="A61" s="14"/>
      <c r="B61" s="61" t="s">
        <v>150</v>
      </c>
      <c r="C61" s="11"/>
      <c r="D61" s="11"/>
      <c r="E61" s="11"/>
    </row>
    <row r="62" spans="1:10" x14ac:dyDescent="0.25">
      <c r="A62" s="14"/>
      <c r="B62" s="11" t="s">
        <v>1115</v>
      </c>
      <c r="C62" s="242"/>
      <c r="D62" s="248">
        <v>0</v>
      </c>
      <c r="F62" s="11" t="s">
        <v>151</v>
      </c>
    </row>
    <row r="63" spans="1:10" x14ac:dyDescent="0.25">
      <c r="A63" s="14"/>
      <c r="B63" s="11" t="s">
        <v>1116</v>
      </c>
      <c r="C63" s="242"/>
      <c r="D63" s="248">
        <v>213.81</v>
      </c>
      <c r="F63" s="11" t="s">
        <v>151</v>
      </c>
    </row>
    <row r="64" spans="1:10" x14ac:dyDescent="0.25">
      <c r="A64" s="14"/>
      <c r="B64" s="11" t="s">
        <v>112</v>
      </c>
      <c r="C64" s="242"/>
      <c r="D64" s="267">
        <f>200*SUM(C16:E16)*12</f>
        <v>26400</v>
      </c>
      <c r="F64" s="11" t="s">
        <v>151</v>
      </c>
    </row>
    <row r="65" spans="1:13" x14ac:dyDescent="0.25">
      <c r="A65" s="14"/>
      <c r="B65" s="11"/>
      <c r="C65" s="11"/>
      <c r="D65" s="87"/>
      <c r="E65" s="87"/>
      <c r="H65" s="11"/>
    </row>
    <row r="66" spans="1:13" x14ac:dyDescent="0.25">
      <c r="A66" s="14"/>
      <c r="B66" s="61" t="s">
        <v>139</v>
      </c>
      <c r="C66" s="11"/>
      <c r="D66" s="11"/>
      <c r="E66" s="11"/>
      <c r="H66" s="11"/>
    </row>
    <row r="67" spans="1:13" ht="15" customHeight="1" x14ac:dyDescent="0.25">
      <c r="A67" s="247"/>
      <c r="B67" s="243" t="s">
        <v>1117</v>
      </c>
      <c r="C67" s="244"/>
      <c r="D67" s="249">
        <v>10</v>
      </c>
      <c r="E67" s="197"/>
      <c r="F67" s="241" t="s">
        <v>140</v>
      </c>
    </row>
    <row r="68" spans="1:13" x14ac:dyDescent="0.25">
      <c r="A68" s="14"/>
      <c r="B68" s="11" t="s">
        <v>1118</v>
      </c>
      <c r="C68" s="242"/>
      <c r="D68" s="249">
        <v>35000</v>
      </c>
      <c r="F68" s="11" t="s">
        <v>20</v>
      </c>
    </row>
    <row r="69" spans="1:13" x14ac:dyDescent="0.25">
      <c r="A69" s="14"/>
      <c r="B69" s="87" t="s">
        <v>645</v>
      </c>
      <c r="C69" s="11"/>
      <c r="D69" s="249">
        <v>15</v>
      </c>
      <c r="E69" s="197"/>
      <c r="F69" s="11" t="s">
        <v>140</v>
      </c>
    </row>
    <row r="70" spans="1:13" x14ac:dyDescent="0.25">
      <c r="A70" s="14"/>
      <c r="B70" s="11" t="s">
        <v>1163</v>
      </c>
      <c r="C70" s="11"/>
      <c r="D70" s="249">
        <v>2</v>
      </c>
      <c r="F70" s="11" t="s">
        <v>386</v>
      </c>
    </row>
    <row r="71" spans="1:13" x14ac:dyDescent="0.25">
      <c r="A71" s="14"/>
      <c r="B71" s="11"/>
      <c r="C71" s="11"/>
      <c r="D71" s="11"/>
      <c r="E71" s="11"/>
      <c r="H71" s="11"/>
    </row>
    <row r="72" spans="1:13" x14ac:dyDescent="0.25">
      <c r="A72" s="14"/>
      <c r="B72" s="61" t="s">
        <v>243</v>
      </c>
      <c r="C72" s="61"/>
      <c r="D72" s="61"/>
      <c r="E72" s="250"/>
      <c r="H72" s="11"/>
    </row>
    <row r="73" spans="1:13" x14ac:dyDescent="0.25">
      <c r="A73" s="14"/>
      <c r="B73" s="87" t="s">
        <v>1372</v>
      </c>
      <c r="C73" s="87"/>
      <c r="D73" s="251">
        <f>AVERAGE(FC_Premissas!D16:E16)*100</f>
        <v>8.875</v>
      </c>
      <c r="F73" s="11" t="s">
        <v>68</v>
      </c>
    </row>
    <row r="74" spans="1:13" x14ac:dyDescent="0.25">
      <c r="A74" s="14"/>
      <c r="B74" s="87" t="s">
        <v>1373</v>
      </c>
      <c r="C74" s="87"/>
      <c r="D74" s="251">
        <f>AVERAGE(FC_Premissas!D15:E15)*100</f>
        <v>3.7150000000000003</v>
      </c>
      <c r="F74" s="11" t="s">
        <v>68</v>
      </c>
    </row>
    <row r="75" spans="1:13" x14ac:dyDescent="0.25">
      <c r="A75" s="14"/>
      <c r="B75" s="11"/>
      <c r="C75" s="11"/>
      <c r="D75" s="11"/>
      <c r="E75" s="11"/>
      <c r="H75" s="11"/>
      <c r="L75" s="885"/>
    </row>
    <row r="76" spans="1:13" x14ac:dyDescent="0.25">
      <c r="A76" s="14"/>
      <c r="B76" s="61" t="s">
        <v>143</v>
      </c>
      <c r="C76" s="11"/>
      <c r="D76" s="11"/>
      <c r="E76" s="11"/>
      <c r="H76" s="11"/>
    </row>
    <row r="77" spans="1:13" x14ac:dyDescent="0.25">
      <c r="A77" s="247"/>
      <c r="B77" s="241" t="s">
        <v>1119</v>
      </c>
      <c r="C77" s="252"/>
      <c r="D77" s="267">
        <v>260647.2</v>
      </c>
      <c r="E77" s="197"/>
      <c r="F77" s="11" t="s">
        <v>20</v>
      </c>
      <c r="L77" s="886"/>
    </row>
    <row r="78" spans="1:13" x14ac:dyDescent="0.25">
      <c r="A78" s="14"/>
      <c r="B78" s="11" t="s">
        <v>1120</v>
      </c>
      <c r="C78" s="242"/>
      <c r="D78" s="267">
        <v>262382.87</v>
      </c>
      <c r="F78" s="11" t="s">
        <v>20</v>
      </c>
    </row>
    <row r="79" spans="1:13" x14ac:dyDescent="0.25">
      <c r="A79" s="247"/>
      <c r="B79" s="11" t="s">
        <v>227</v>
      </c>
      <c r="C79" s="242"/>
      <c r="D79" s="253">
        <v>25</v>
      </c>
      <c r="E79" s="197"/>
      <c r="F79" s="11" t="s">
        <v>140</v>
      </c>
      <c r="J79" s="884"/>
      <c r="L79" s="884"/>
      <c r="M79" s="884"/>
    </row>
    <row r="80" spans="1:13" x14ac:dyDescent="0.25">
      <c r="A80" s="247"/>
      <c r="B80" s="11" t="s">
        <v>376</v>
      </c>
      <c r="C80" s="242"/>
      <c r="D80" s="253">
        <v>10</v>
      </c>
      <c r="E80" s="197"/>
      <c r="F80" s="11" t="s">
        <v>68</v>
      </c>
      <c r="J80" s="884"/>
      <c r="L80" s="884"/>
      <c r="M80" s="884"/>
    </row>
    <row r="81" spans="1:13" x14ac:dyDescent="0.25">
      <c r="A81" s="14"/>
      <c r="B81" s="11" t="s">
        <v>1121</v>
      </c>
      <c r="C81" s="242"/>
      <c r="D81" s="267">
        <v>89438.01</v>
      </c>
      <c r="F81" s="11" t="s">
        <v>20</v>
      </c>
      <c r="J81" s="884"/>
      <c r="L81" s="884"/>
      <c r="M81" s="884"/>
    </row>
    <row r="82" spans="1:13" x14ac:dyDescent="0.25">
      <c r="A82" s="14"/>
      <c r="B82" s="11" t="s">
        <v>228</v>
      </c>
      <c r="C82" s="242"/>
      <c r="D82" s="253">
        <v>10</v>
      </c>
      <c r="E82" s="197"/>
      <c r="F82" s="11" t="s">
        <v>140</v>
      </c>
    </row>
    <row r="83" spans="1:13" x14ac:dyDescent="0.25">
      <c r="A83" s="14"/>
      <c r="B83" s="11" t="s">
        <v>742</v>
      </c>
      <c r="C83" s="242"/>
      <c r="D83" s="253">
        <v>0</v>
      </c>
      <c r="E83" s="197"/>
      <c r="F83" s="11" t="s">
        <v>68</v>
      </c>
    </row>
    <row r="84" spans="1:13" x14ac:dyDescent="0.25">
      <c r="A84" s="14"/>
      <c r="B84" s="245" t="s">
        <v>739</v>
      </c>
      <c r="C84" s="254"/>
      <c r="D84" s="267">
        <v>325683.59999999998</v>
      </c>
      <c r="E84" s="197"/>
      <c r="F84" s="11" t="s">
        <v>20</v>
      </c>
    </row>
    <row r="85" spans="1:13" x14ac:dyDescent="0.25">
      <c r="A85" s="14"/>
      <c r="B85" s="245" t="s">
        <v>1186</v>
      </c>
      <c r="C85" s="254"/>
      <c r="D85" s="253">
        <v>5</v>
      </c>
      <c r="E85" s="197"/>
      <c r="F85" s="11" t="s">
        <v>140</v>
      </c>
    </row>
    <row r="86" spans="1:13" x14ac:dyDescent="0.25">
      <c r="A86" s="14"/>
      <c r="B86" s="245" t="s">
        <v>1187</v>
      </c>
      <c r="C86" s="254"/>
      <c r="D86" s="253">
        <v>0</v>
      </c>
      <c r="E86" s="197"/>
      <c r="F86" s="11" t="s">
        <v>68</v>
      </c>
    </row>
    <row r="87" spans="1:13" x14ac:dyDescent="0.25">
      <c r="A87" s="14"/>
      <c r="B87" s="11"/>
      <c r="C87" s="11"/>
      <c r="D87" s="11"/>
      <c r="E87" s="11"/>
      <c r="H87" s="11"/>
    </row>
    <row r="88" spans="1:13" x14ac:dyDescent="0.25">
      <c r="A88" s="14"/>
      <c r="B88" s="61" t="s">
        <v>153</v>
      </c>
      <c r="C88" s="11"/>
      <c r="D88" s="11"/>
      <c r="E88" s="11"/>
      <c r="H88" s="11"/>
    </row>
    <row r="89" spans="1:13" ht="30" customHeight="1" x14ac:dyDescent="0.25">
      <c r="A89" s="247"/>
      <c r="B89" s="243" t="s">
        <v>1122</v>
      </c>
      <c r="C89" s="244"/>
      <c r="D89" s="270">
        <v>3800</v>
      </c>
      <c r="E89" s="197"/>
      <c r="F89" s="241" t="s">
        <v>152</v>
      </c>
    </row>
    <row r="90" spans="1:13" ht="15" customHeight="1" x14ac:dyDescent="0.25">
      <c r="A90" s="247"/>
      <c r="B90" s="243" t="s">
        <v>1123</v>
      </c>
      <c r="C90" s="244"/>
      <c r="D90" s="270">
        <v>0</v>
      </c>
      <c r="E90" s="197"/>
      <c r="F90" s="241" t="s">
        <v>154</v>
      </c>
    </row>
    <row r="91" spans="1:13" ht="15" customHeight="1" x14ac:dyDescent="0.25">
      <c r="A91" s="247"/>
      <c r="B91" s="243" t="s">
        <v>1124</v>
      </c>
      <c r="C91" s="244"/>
      <c r="D91" s="270">
        <v>2757.6</v>
      </c>
      <c r="E91" s="197"/>
      <c r="F91" s="241" t="s">
        <v>151</v>
      </c>
    </row>
    <row r="92" spans="1:13" x14ac:dyDescent="0.25">
      <c r="A92" s="247"/>
      <c r="B92" s="241" t="s">
        <v>1125</v>
      </c>
      <c r="C92" s="252"/>
      <c r="D92" s="255">
        <f>SUM(C16:E16)</f>
        <v>11</v>
      </c>
      <c r="E92" s="197"/>
      <c r="F92" s="241" t="s">
        <v>155</v>
      </c>
    </row>
    <row r="93" spans="1:13" x14ac:dyDescent="0.25">
      <c r="A93" s="247"/>
      <c r="B93" s="241" t="s">
        <v>96</v>
      </c>
      <c r="C93" s="252"/>
      <c r="D93" s="270">
        <v>0</v>
      </c>
      <c r="E93" s="197"/>
      <c r="F93" s="241" t="s">
        <v>152</v>
      </c>
    </row>
    <row r="94" spans="1:13" x14ac:dyDescent="0.25">
      <c r="A94" s="14"/>
      <c r="B94" s="11" t="s">
        <v>1126</v>
      </c>
      <c r="C94" s="11"/>
      <c r="D94" s="270">
        <v>2900</v>
      </c>
      <c r="E94" s="197"/>
      <c r="F94" s="11" t="s">
        <v>152</v>
      </c>
    </row>
    <row r="95" spans="1:13" x14ac:dyDescent="0.25">
      <c r="A95" s="14"/>
      <c r="B95" s="11"/>
      <c r="C95" s="256"/>
      <c r="D95" s="11"/>
      <c r="E95" s="11"/>
      <c r="F95" s="11"/>
      <c r="G95" s="11"/>
      <c r="H95" s="11"/>
    </row>
    <row r="96" spans="1:13" x14ac:dyDescent="0.25">
      <c r="A96" s="14"/>
      <c r="B96" s="61" t="s">
        <v>358</v>
      </c>
      <c r="C96" s="11"/>
      <c r="D96" s="11"/>
      <c r="E96" s="11"/>
      <c r="H96" s="11"/>
    </row>
    <row r="97" spans="1:10" x14ac:dyDescent="0.25">
      <c r="A97" s="247"/>
      <c r="B97" s="241" t="s">
        <v>1073</v>
      </c>
      <c r="C97" s="252"/>
      <c r="D97" s="943">
        <v>2.82</v>
      </c>
      <c r="E97" s="197"/>
      <c r="F97" s="241" t="s">
        <v>68</v>
      </c>
      <c r="I97" s="567"/>
    </row>
    <row r="98" spans="1:10" x14ac:dyDescent="0.25">
      <c r="A98" s="247"/>
      <c r="B98" s="241"/>
      <c r="C98" s="241"/>
      <c r="D98" s="11"/>
      <c r="E98" s="197"/>
      <c r="F98" s="241"/>
      <c r="H98" s="567"/>
      <c r="I98" s="971"/>
    </row>
    <row r="99" spans="1:10" x14ac:dyDescent="0.25">
      <c r="A99" s="247"/>
      <c r="B99" s="289" t="s">
        <v>1325</v>
      </c>
      <c r="C99" s="241"/>
      <c r="D99" s="11"/>
      <c r="E99" s="197"/>
      <c r="F99" s="241"/>
      <c r="I99" s="883"/>
    </row>
    <row r="100" spans="1:10" x14ac:dyDescent="0.25">
      <c r="A100" s="247"/>
      <c r="B100" s="241" t="s">
        <v>1404</v>
      </c>
      <c r="C100" s="241"/>
      <c r="D100" s="943">
        <v>0</v>
      </c>
      <c r="E100" s="197"/>
      <c r="F100" s="241" t="s">
        <v>68</v>
      </c>
      <c r="I100" s="883"/>
    </row>
    <row r="101" spans="1:10" x14ac:dyDescent="0.25">
      <c r="A101" s="14"/>
      <c r="B101" s="11"/>
      <c r="C101" s="11"/>
      <c r="D101" s="11"/>
      <c r="E101" s="11"/>
      <c r="H101" s="11"/>
    </row>
    <row r="102" spans="1:10" x14ac:dyDescent="0.25">
      <c r="A102" s="14"/>
      <c r="B102" s="61" t="s">
        <v>110</v>
      </c>
      <c r="C102" s="11"/>
      <c r="D102" s="257">
        <f>D161</f>
        <v>99200</v>
      </c>
      <c r="F102" s="11" t="s">
        <v>151</v>
      </c>
    </row>
    <row r="103" spans="1:10" x14ac:dyDescent="0.25">
      <c r="A103" s="14"/>
      <c r="B103" s="11"/>
      <c r="C103" s="11"/>
      <c r="D103" s="11"/>
      <c r="E103" s="11"/>
      <c r="H103" s="11"/>
      <c r="I103" s="567"/>
    </row>
    <row r="104" spans="1:10" x14ac:dyDescent="0.25">
      <c r="A104" s="14"/>
      <c r="B104" s="61" t="s">
        <v>746</v>
      </c>
      <c r="C104" s="11"/>
      <c r="D104" s="11"/>
      <c r="E104" s="11"/>
      <c r="H104" s="881"/>
      <c r="J104" s="882"/>
    </row>
    <row r="105" spans="1:10" x14ac:dyDescent="0.25">
      <c r="A105" s="247"/>
      <c r="B105" s="241" t="s">
        <v>1127</v>
      </c>
      <c r="C105" s="252"/>
      <c r="D105" s="258">
        <v>5</v>
      </c>
      <c r="E105" s="197"/>
      <c r="F105" s="241" t="s">
        <v>68</v>
      </c>
      <c r="I105" s="567"/>
    </row>
    <row r="106" spans="1:10" x14ac:dyDescent="0.25">
      <c r="A106" s="247"/>
      <c r="B106" s="241" t="s">
        <v>1128</v>
      </c>
      <c r="C106" s="252"/>
      <c r="D106" s="258">
        <v>0</v>
      </c>
      <c r="E106" s="197"/>
      <c r="F106" s="241" t="s">
        <v>68</v>
      </c>
      <c r="H106" s="567"/>
      <c r="I106" s="567"/>
    </row>
    <row r="107" spans="1:10" ht="15" customHeight="1" x14ac:dyDescent="0.25">
      <c r="A107" s="247"/>
      <c r="B107" s="243" t="s">
        <v>1129</v>
      </c>
      <c r="C107" s="244"/>
      <c r="D107" s="258">
        <v>0</v>
      </c>
      <c r="E107" s="197"/>
      <c r="F107" s="241" t="s">
        <v>68</v>
      </c>
    </row>
    <row r="108" spans="1:10" ht="15" customHeight="1" x14ac:dyDescent="0.25">
      <c r="A108" s="247"/>
      <c r="B108" s="243" t="s">
        <v>1130</v>
      </c>
      <c r="C108" s="244"/>
      <c r="D108" s="258">
        <v>0</v>
      </c>
      <c r="E108" s="197"/>
      <c r="F108" s="241" t="s">
        <v>68</v>
      </c>
    </row>
    <row r="109" spans="1:10" ht="15" customHeight="1" x14ac:dyDescent="0.25">
      <c r="A109" s="247"/>
      <c r="B109" s="243" t="s">
        <v>1131</v>
      </c>
      <c r="C109" s="244"/>
      <c r="D109" s="258">
        <v>1</v>
      </c>
      <c r="E109" s="197"/>
      <c r="F109" s="241" t="s">
        <v>68</v>
      </c>
    </row>
    <row r="110" spans="1:10" x14ac:dyDescent="0.25">
      <c r="A110" s="247"/>
      <c r="B110" s="241" t="s">
        <v>1076</v>
      </c>
      <c r="C110" s="252"/>
      <c r="D110" s="258">
        <v>0</v>
      </c>
      <c r="E110" s="197"/>
      <c r="F110" s="241" t="s">
        <v>68</v>
      </c>
    </row>
    <row r="111" spans="1:10" x14ac:dyDescent="0.25">
      <c r="A111" s="247"/>
      <c r="B111" s="241" t="s">
        <v>1132</v>
      </c>
      <c r="C111" s="252"/>
      <c r="D111" s="258">
        <v>0</v>
      </c>
      <c r="E111" s="197"/>
      <c r="F111" s="241" t="s">
        <v>68</v>
      </c>
    </row>
    <row r="112" spans="1:10" x14ac:dyDescent="0.25">
      <c r="A112" s="14"/>
      <c r="B112" s="11"/>
      <c r="C112" s="11"/>
      <c r="D112" s="11"/>
      <c r="E112" s="11"/>
      <c r="H112" s="11"/>
    </row>
    <row r="113" spans="1:12" x14ac:dyDescent="0.25">
      <c r="A113" s="14"/>
      <c r="B113" s="61" t="s">
        <v>1133</v>
      </c>
      <c r="C113" s="11"/>
      <c r="D113" s="249">
        <f>0.01*SUM('ANTP_4. Custo Total'!H5,'ANTP_4. Custo Total'!H7,'ANTP_4. Custo Total'!H9)</f>
        <v>4059.4066902335203</v>
      </c>
      <c r="E113" s="197"/>
      <c r="F113" s="241" t="s">
        <v>152</v>
      </c>
      <c r="H113" s="11"/>
    </row>
    <row r="115" spans="1:12" x14ac:dyDescent="0.25">
      <c r="B115" s="259" t="s">
        <v>1166</v>
      </c>
      <c r="C115" s="259"/>
    </row>
    <row r="117" spans="1:12" x14ac:dyDescent="0.25">
      <c r="B117" s="12" t="s">
        <v>1138</v>
      </c>
      <c r="D117" s="270">
        <v>0</v>
      </c>
      <c r="H117" s="568"/>
      <c r="I117" s="568"/>
      <c r="L117" s="587"/>
    </row>
    <row r="118" spans="1:12" x14ac:dyDescent="0.25">
      <c r="D118" s="260"/>
      <c r="H118" s="568"/>
      <c r="I118" s="568"/>
      <c r="L118" s="587"/>
    </row>
    <row r="119" spans="1:12" x14ac:dyDescent="0.25">
      <c r="B119" s="87" t="s">
        <v>1139</v>
      </c>
      <c r="D119" s="270">
        <f>12*210</f>
        <v>2520</v>
      </c>
      <c r="H119" s="568"/>
      <c r="I119" s="568"/>
      <c r="L119" s="587"/>
    </row>
    <row r="120" spans="1:12" x14ac:dyDescent="0.25">
      <c r="B120" s="11" t="s">
        <v>1140</v>
      </c>
      <c r="D120" s="270">
        <f>12*110</f>
        <v>1320</v>
      </c>
      <c r="H120" s="568"/>
      <c r="I120" s="568"/>
      <c r="L120" s="587"/>
    </row>
    <row r="121" spans="1:12" x14ac:dyDescent="0.25">
      <c r="B121" s="11" t="s">
        <v>1141</v>
      </c>
      <c r="D121" s="270">
        <v>0</v>
      </c>
      <c r="H121" s="568"/>
      <c r="I121" s="568"/>
      <c r="L121" s="587"/>
    </row>
    <row r="122" spans="1:12" x14ac:dyDescent="0.25">
      <c r="B122" s="11" t="s">
        <v>1142</v>
      </c>
      <c r="D122" s="270">
        <v>0</v>
      </c>
      <c r="H122" s="568"/>
      <c r="I122" s="568"/>
      <c r="L122" s="587"/>
    </row>
    <row r="123" spans="1:12" x14ac:dyDescent="0.25">
      <c r="D123" s="260"/>
      <c r="H123" s="568"/>
      <c r="I123" s="568"/>
      <c r="L123" s="587"/>
    </row>
    <row r="124" spans="1:12" x14ac:dyDescent="0.25">
      <c r="B124" s="261" t="s">
        <v>398</v>
      </c>
      <c r="D124" s="262">
        <f>SUM(D119:D122)</f>
        <v>3840</v>
      </c>
      <c r="H124" s="568"/>
      <c r="I124" s="568"/>
      <c r="L124" s="587"/>
    </row>
    <row r="125" spans="1:12" x14ac:dyDescent="0.25">
      <c r="B125" s="263"/>
      <c r="D125" s="260"/>
      <c r="H125" s="568"/>
      <c r="I125" s="568"/>
      <c r="L125" s="587"/>
    </row>
    <row r="126" spans="1:12" x14ac:dyDescent="0.25">
      <c r="B126" s="60" t="s">
        <v>397</v>
      </c>
      <c r="D126" s="270">
        <v>0</v>
      </c>
      <c r="H126" s="568"/>
      <c r="I126" s="568"/>
      <c r="L126" s="587"/>
    </row>
    <row r="127" spans="1:12" x14ac:dyDescent="0.25">
      <c r="B127" s="60" t="s">
        <v>1190</v>
      </c>
      <c r="D127" s="270">
        <v>50000</v>
      </c>
      <c r="H127" s="568"/>
      <c r="I127" s="568"/>
      <c r="L127" s="879"/>
    </row>
    <row r="128" spans="1:12" x14ac:dyDescent="0.25">
      <c r="D128" s="260"/>
      <c r="H128" s="568"/>
      <c r="I128" s="568"/>
    </row>
    <row r="129" spans="2:9" x14ac:dyDescent="0.25">
      <c r="B129" s="11" t="s">
        <v>1143</v>
      </c>
      <c r="D129" s="270">
        <f>12*425</f>
        <v>5100</v>
      </c>
      <c r="H129" s="568"/>
      <c r="I129" s="568"/>
    </row>
    <row r="130" spans="2:9" x14ac:dyDescent="0.25">
      <c r="B130" s="11" t="s">
        <v>1144</v>
      </c>
      <c r="D130" s="270">
        <f>12*370</f>
        <v>4440</v>
      </c>
      <c r="H130" s="568"/>
      <c r="I130" s="568"/>
    </row>
    <row r="131" spans="2:9" x14ac:dyDescent="0.25">
      <c r="B131" s="11" t="s">
        <v>1145</v>
      </c>
      <c r="D131" s="270">
        <v>0</v>
      </c>
      <c r="H131" s="568"/>
      <c r="I131" s="568"/>
    </row>
    <row r="132" spans="2:9" x14ac:dyDescent="0.25">
      <c r="D132" s="260"/>
      <c r="H132" s="568"/>
      <c r="I132" s="568"/>
    </row>
    <row r="133" spans="2:9" x14ac:dyDescent="0.25">
      <c r="B133" s="261" t="s">
        <v>399</v>
      </c>
      <c r="D133" s="262">
        <f>SUM(D129:D131)</f>
        <v>9540</v>
      </c>
      <c r="H133" s="568"/>
      <c r="I133" s="568"/>
    </row>
    <row r="134" spans="2:9" x14ac:dyDescent="0.25">
      <c r="B134" s="261"/>
      <c r="D134" s="260"/>
      <c r="H134" s="568"/>
      <c r="I134" s="568"/>
    </row>
    <row r="135" spans="2:9" x14ac:dyDescent="0.25">
      <c r="B135" s="11" t="s">
        <v>1146</v>
      </c>
      <c r="D135" s="270">
        <f>12*65</f>
        <v>780</v>
      </c>
      <c r="H135" s="568"/>
      <c r="I135" s="568"/>
    </row>
    <row r="136" spans="2:9" x14ac:dyDescent="0.25">
      <c r="B136" s="11" t="s">
        <v>1147</v>
      </c>
      <c r="D136" s="270">
        <v>0</v>
      </c>
      <c r="H136" s="568"/>
      <c r="I136" s="568"/>
    </row>
    <row r="137" spans="2:9" x14ac:dyDescent="0.25">
      <c r="B137" s="11" t="s">
        <v>1148</v>
      </c>
      <c r="D137" s="270">
        <f>12*120</f>
        <v>1440</v>
      </c>
      <c r="H137" s="568"/>
      <c r="I137" s="568"/>
    </row>
    <row r="138" spans="2:9" x14ac:dyDescent="0.25">
      <c r="D138" s="260"/>
      <c r="H138" s="568"/>
      <c r="I138" s="568"/>
    </row>
    <row r="139" spans="2:9" x14ac:dyDescent="0.25">
      <c r="B139" s="261" t="s">
        <v>400</v>
      </c>
      <c r="D139" s="262">
        <f>SUM(D135:D137)</f>
        <v>2220</v>
      </c>
      <c r="H139" s="568"/>
      <c r="I139" s="568"/>
    </row>
    <row r="140" spans="2:9" x14ac:dyDescent="0.25">
      <c r="B140" s="261"/>
      <c r="D140" s="260"/>
      <c r="H140" s="568"/>
      <c r="I140" s="568"/>
    </row>
    <row r="141" spans="2:9" x14ac:dyDescent="0.25">
      <c r="B141" s="12" t="s">
        <v>1149</v>
      </c>
      <c r="D141" s="270">
        <v>0</v>
      </c>
      <c r="H141" s="568"/>
      <c r="I141" s="568"/>
    </row>
    <row r="142" spans="2:9" x14ac:dyDescent="0.25">
      <c r="B142" s="12" t="s">
        <v>1150</v>
      </c>
      <c r="D142" s="270">
        <v>0</v>
      </c>
      <c r="H142" s="568"/>
      <c r="I142" s="568"/>
    </row>
    <row r="143" spans="2:9" x14ac:dyDescent="0.25">
      <c r="B143" s="12" t="s">
        <v>1151</v>
      </c>
      <c r="D143" s="270">
        <f>12*100</f>
        <v>1200</v>
      </c>
      <c r="H143" s="568"/>
      <c r="I143" s="568"/>
    </row>
    <row r="144" spans="2:9" x14ac:dyDescent="0.25">
      <c r="B144" s="12" t="s">
        <v>1152</v>
      </c>
      <c r="D144" s="270">
        <v>0</v>
      </c>
      <c r="H144" s="568"/>
      <c r="I144" s="568"/>
    </row>
    <row r="145" spans="2:9" x14ac:dyDescent="0.25">
      <c r="B145" s="12" t="s">
        <v>1153</v>
      </c>
      <c r="D145" s="270">
        <v>0</v>
      </c>
      <c r="H145" s="568"/>
      <c r="I145" s="568"/>
    </row>
    <row r="146" spans="2:9" x14ac:dyDescent="0.25">
      <c r="D146" s="260"/>
      <c r="H146" s="568"/>
      <c r="I146" s="568"/>
    </row>
    <row r="147" spans="2:9" x14ac:dyDescent="0.25">
      <c r="B147" s="11" t="s">
        <v>1154</v>
      </c>
      <c r="D147" s="270">
        <v>0</v>
      </c>
      <c r="H147" s="568"/>
      <c r="I147" s="568"/>
    </row>
    <row r="148" spans="2:9" x14ac:dyDescent="0.25">
      <c r="B148" s="11" t="s">
        <v>1155</v>
      </c>
      <c r="D148" s="270">
        <v>0</v>
      </c>
      <c r="H148" s="568"/>
      <c r="I148" s="568"/>
    </row>
    <row r="149" spans="2:9" x14ac:dyDescent="0.25">
      <c r="B149" s="11" t="s">
        <v>1156</v>
      </c>
      <c r="D149" s="270">
        <v>0</v>
      </c>
      <c r="H149" s="568"/>
      <c r="I149" s="568"/>
    </row>
    <row r="150" spans="2:9" x14ac:dyDescent="0.25">
      <c r="B150" s="11" t="s">
        <v>1157</v>
      </c>
      <c r="D150" s="270">
        <v>0</v>
      </c>
      <c r="H150" s="568"/>
      <c r="I150" s="568"/>
    </row>
    <row r="151" spans="2:9" x14ac:dyDescent="0.25">
      <c r="B151" s="11" t="s">
        <v>1158</v>
      </c>
      <c r="D151" s="270">
        <f>12*1600</f>
        <v>19200</v>
      </c>
      <c r="H151" s="568"/>
      <c r="I151" s="568"/>
    </row>
    <row r="152" spans="2:9" x14ac:dyDescent="0.25">
      <c r="B152" s="11" t="s">
        <v>1159</v>
      </c>
      <c r="D152" s="270">
        <f>12*1100</f>
        <v>13200</v>
      </c>
      <c r="H152" s="568"/>
      <c r="I152" s="568"/>
    </row>
    <row r="153" spans="2:9" x14ac:dyDescent="0.25">
      <c r="B153" s="11" t="s">
        <v>1160</v>
      </c>
      <c r="D153" s="270">
        <v>0</v>
      </c>
      <c r="H153" s="568"/>
      <c r="I153" s="568"/>
    </row>
    <row r="154" spans="2:9" x14ac:dyDescent="0.25">
      <c r="B154" s="11" t="s">
        <v>1161</v>
      </c>
      <c r="D154" s="270">
        <v>0</v>
      </c>
      <c r="H154" s="568"/>
      <c r="I154" s="568"/>
    </row>
    <row r="155" spans="2:9" x14ac:dyDescent="0.25">
      <c r="B155" s="11" t="s">
        <v>1162</v>
      </c>
      <c r="D155" s="270">
        <v>0</v>
      </c>
      <c r="H155" s="568"/>
      <c r="I155" s="568"/>
    </row>
    <row r="156" spans="2:9" x14ac:dyDescent="0.25">
      <c r="D156" s="260"/>
      <c r="H156" s="568"/>
      <c r="I156" s="568"/>
    </row>
    <row r="157" spans="2:9" x14ac:dyDescent="0.25">
      <c r="B157" s="261" t="s">
        <v>401</v>
      </c>
      <c r="D157" s="262">
        <f>SUM(D147:D155)</f>
        <v>32400</v>
      </c>
      <c r="H157" s="568"/>
      <c r="I157" s="568"/>
    </row>
    <row r="158" spans="2:9" x14ac:dyDescent="0.25">
      <c r="D158" s="260"/>
      <c r="H158" s="568"/>
      <c r="I158" s="568"/>
    </row>
    <row r="159" spans="2:9" x14ac:dyDescent="0.25">
      <c r="B159" s="12" t="s">
        <v>1075</v>
      </c>
      <c r="D159" s="270">
        <f>12*0</f>
        <v>0</v>
      </c>
      <c r="H159" s="568"/>
      <c r="I159" s="568"/>
    </row>
    <row r="160" spans="2:9" x14ac:dyDescent="0.25">
      <c r="D160" s="260"/>
      <c r="H160" s="568"/>
      <c r="I160" s="568"/>
    </row>
    <row r="161" spans="2:9" x14ac:dyDescent="0.25">
      <c r="B161" s="261" t="s">
        <v>741</v>
      </c>
      <c r="D161" s="264">
        <f>D159+D157+SUM(D141:D145)+D139+D133+D124+D117+D126+D127</f>
        <v>99200</v>
      </c>
      <c r="H161" s="568"/>
      <c r="I161" s="568"/>
    </row>
  </sheetData>
  <sheetProtection algorithmName="SHA-512" hashValue="UBzM3zLfFGJiuQxVcCDv7NvfqOB2RvPvvHm7S0JcUXKX3CyVsIs9xQ0Cp1rkDS3D+pM69QICk8IhyrD1KVxkqA==" saltValue="oZRurMro3Qw/TLjK599vFg==" spinCount="100000" sheet="1" formatCells="0" formatColumns="0" formatRows="0" insertColumns="0" insertRows="0" insertHyperlinks="0" deleteColumns="0" deleteRows="0" sort="0" autoFilter="0" pivotTables="0"/>
  <phoneticPr fontId="118" type="noConversion"/>
  <pageMargins left="0.511811024" right="0.511811024" top="0.78740157499999996" bottom="0.78740157499999996" header="0.31496062000000002" footer="0.31496062000000002"/>
  <pageSetup paperSize="9" scale="71" orientation="portrait" horizontalDpi="1200" verticalDpi="1200" r:id="rId1"/>
  <rowBreaks count="2" manualBreakCount="2">
    <brk id="65" max="16383" man="1"/>
    <brk id="1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81863-5133-4513-B144-6B9CBD0A6500}">
  <sheetPr>
    <tabColor theme="6" tint="0.39997558519241921"/>
  </sheetPr>
  <dimension ref="A1:J37"/>
  <sheetViews>
    <sheetView showGridLines="0" view="pageBreakPreview" topLeftCell="A2" zoomScale="85" zoomScaleNormal="100" zoomScaleSheetLayoutView="85" workbookViewId="0">
      <selection activeCell="A7" sqref="A7"/>
    </sheetView>
  </sheetViews>
  <sheetFormatPr defaultColWidth="12.42578125" defaultRowHeight="12.75" x14ac:dyDescent="0.2"/>
  <cols>
    <col min="1" max="1" width="16" style="853" bestFit="1" customWidth="1"/>
    <col min="2" max="3" width="15.85546875" style="853" bestFit="1" customWidth="1"/>
    <col min="4" max="4" width="19.85546875" style="853" bestFit="1" customWidth="1"/>
    <col min="5" max="5" width="8" style="853" bestFit="1" customWidth="1"/>
    <col min="6" max="6" width="6" style="853" bestFit="1" customWidth="1"/>
    <col min="7" max="16384" width="12.42578125" style="853"/>
  </cols>
  <sheetData>
    <row r="1" spans="1:10" ht="15" x14ac:dyDescent="0.25">
      <c r="B1" s="560" t="s">
        <v>1182</v>
      </c>
    </row>
    <row r="3" spans="1:10" s="855" customFormat="1" x14ac:dyDescent="0.2">
      <c r="A3" s="1036" t="s">
        <v>1242</v>
      </c>
      <c r="B3" s="1036"/>
      <c r="C3" s="1036"/>
      <c r="D3" s="1036"/>
      <c r="E3" s="1036"/>
      <c r="F3" s="1036"/>
      <c r="G3" s="854"/>
      <c r="H3" s="854"/>
      <c r="I3" s="854"/>
      <c r="J3" s="854"/>
    </row>
    <row r="4" spans="1:10" s="855" customFormat="1" x14ac:dyDescent="0.2">
      <c r="A4" s="856"/>
      <c r="B4" s="854"/>
      <c r="C4" s="854"/>
      <c r="D4" s="854"/>
      <c r="E4" s="854"/>
      <c r="F4" s="854"/>
      <c r="G4" s="854"/>
      <c r="H4" s="854"/>
      <c r="I4" s="854"/>
      <c r="J4" s="854"/>
    </row>
    <row r="5" spans="1:10" s="855" customFormat="1" ht="15" customHeight="1" x14ac:dyDescent="0.2">
      <c r="A5" s="857" t="s">
        <v>1324</v>
      </c>
      <c r="B5" s="1037">
        <v>0</v>
      </c>
      <c r="C5" s="1038"/>
      <c r="E5" s="854"/>
      <c r="F5" s="854"/>
      <c r="G5" s="854"/>
      <c r="H5" s="854"/>
      <c r="I5" s="854"/>
      <c r="J5" s="854"/>
    </row>
    <row r="6" spans="1:10" s="855" customFormat="1" ht="15" customHeight="1" x14ac:dyDescent="0.2">
      <c r="A6" s="858" t="s">
        <v>1325</v>
      </c>
      <c r="B6" s="1039">
        <f>'Resultados_Tarifa e TIR'!B14</f>
        <v>0</v>
      </c>
      <c r="C6" s="1040"/>
      <c r="D6" s="853"/>
      <c r="E6" s="854"/>
      <c r="F6" s="859"/>
      <c r="G6" s="854"/>
      <c r="H6" s="854"/>
      <c r="I6" s="854"/>
      <c r="J6" s="854"/>
    </row>
    <row r="7" spans="1:10" s="855" customFormat="1" ht="25.5" x14ac:dyDescent="0.2">
      <c r="A7" s="860" t="s">
        <v>1326</v>
      </c>
      <c r="B7" s="860" t="s">
        <v>1327</v>
      </c>
      <c r="C7" s="861" t="s">
        <v>1328</v>
      </c>
      <c r="D7" s="861" t="s">
        <v>1329</v>
      </c>
      <c r="E7" s="1041" t="s">
        <v>1242</v>
      </c>
      <c r="F7" s="1041"/>
      <c r="G7" s="854"/>
      <c r="H7" s="854"/>
      <c r="I7" s="854"/>
      <c r="J7" s="854"/>
    </row>
    <row r="8" spans="1:10" s="855" customFormat="1" x14ac:dyDescent="0.2">
      <c r="A8" s="862">
        <v>0</v>
      </c>
      <c r="B8" s="863">
        <f ca="1">Resultados_FluxoCaixa!$C$12</f>
        <v>-2889089.2014545458</v>
      </c>
      <c r="C8" s="863">
        <f t="shared" ref="C8:C33" ca="1" si="0">PV($B$6,A8,,-B8)</f>
        <v>-2889089.2014545458</v>
      </c>
      <c r="D8" s="863">
        <f ca="1">C8</f>
        <v>-2889089.2014545458</v>
      </c>
      <c r="E8" s="1035">
        <f t="shared" ref="E8:E26" ca="1" si="1">IF(D8&lt;0,IF(D9&gt;=0,A8+(-D8/C9),0),0)</f>
        <v>0</v>
      </c>
      <c r="F8" s="1035"/>
      <c r="G8" s="854"/>
      <c r="H8" s="854"/>
      <c r="I8" s="854"/>
      <c r="J8" s="854"/>
    </row>
    <row r="9" spans="1:10" s="855" customFormat="1" x14ac:dyDescent="0.2">
      <c r="A9" s="864">
        <v>1</v>
      </c>
      <c r="B9" s="863">
        <f ca="1">Resultados_FluxoCaixa!$D$12</f>
        <v>712054.40675130463</v>
      </c>
      <c r="C9" s="863">
        <f ca="1">PV($B$6,A9,,-B9)</f>
        <v>712054.40675130463</v>
      </c>
      <c r="D9" s="863">
        <f ca="1">D8+C9</f>
        <v>-2177034.7947032414</v>
      </c>
      <c r="E9" s="1035">
        <f t="shared" ca="1" si="1"/>
        <v>0</v>
      </c>
      <c r="F9" s="1035"/>
      <c r="G9" s="854"/>
      <c r="H9" s="854"/>
      <c r="I9" s="854"/>
      <c r="J9" s="854"/>
    </row>
    <row r="10" spans="1:10" s="855" customFormat="1" x14ac:dyDescent="0.2">
      <c r="A10" s="862">
        <v>2</v>
      </c>
      <c r="B10" s="863">
        <f ca="1">Resultados_FluxoCaixa!$E$12</f>
        <v>128734.22854039591</v>
      </c>
      <c r="C10" s="863">
        <f t="shared" ca="1" si="0"/>
        <v>128734.22854039591</v>
      </c>
      <c r="D10" s="863">
        <f ca="1">D9+C10</f>
        <v>-2048300.5661628456</v>
      </c>
      <c r="E10" s="1035">
        <f t="shared" ca="1" si="1"/>
        <v>0</v>
      </c>
      <c r="F10" s="1035"/>
      <c r="G10" s="854"/>
      <c r="H10" s="854"/>
      <c r="I10" s="854"/>
      <c r="J10" s="854"/>
    </row>
    <row r="11" spans="1:10" s="855" customFormat="1" x14ac:dyDescent="0.2">
      <c r="A11" s="864">
        <v>3</v>
      </c>
      <c r="B11" s="863">
        <f ca="1">Resultados_FluxoCaixa!$F$12</f>
        <v>685131.6897185772</v>
      </c>
      <c r="C11" s="863">
        <f ca="1">PV($B$6,A11,,-B11)</f>
        <v>685131.6897185772</v>
      </c>
      <c r="D11" s="863">
        <f t="shared" ref="D11:D13" ca="1" si="2">D10+C11</f>
        <v>-1363168.8764442685</v>
      </c>
      <c r="E11" s="1035">
        <f t="shared" ca="1" si="1"/>
        <v>0</v>
      </c>
      <c r="F11" s="1035"/>
      <c r="G11" s="854"/>
      <c r="H11" s="854"/>
      <c r="I11" s="854"/>
      <c r="J11" s="854"/>
    </row>
    <row r="12" spans="1:10" s="855" customFormat="1" x14ac:dyDescent="0.2">
      <c r="A12" s="862">
        <v>4</v>
      </c>
      <c r="B12" s="863">
        <f ca="1">Resultados_FluxoCaixa!$G$12</f>
        <v>105880.63051857729</v>
      </c>
      <c r="C12" s="863">
        <f t="shared" ca="1" si="0"/>
        <v>105880.63051857729</v>
      </c>
      <c r="D12" s="863">
        <f t="shared" ca="1" si="2"/>
        <v>-1257288.2459256912</v>
      </c>
      <c r="E12" s="1035">
        <f t="shared" ca="1" si="1"/>
        <v>0</v>
      </c>
      <c r="F12" s="1035"/>
      <c r="G12" s="854"/>
      <c r="H12" s="854"/>
      <c r="I12" s="854"/>
      <c r="J12" s="854"/>
    </row>
    <row r="13" spans="1:10" s="855" customFormat="1" x14ac:dyDescent="0.2">
      <c r="A13" s="864">
        <v>5</v>
      </c>
      <c r="B13" s="863">
        <f ca="1">Resultados_FluxoCaixa!$H$12</f>
        <v>166884.77533312287</v>
      </c>
      <c r="C13" s="863">
        <f t="shared" ca="1" si="0"/>
        <v>166884.77533312287</v>
      </c>
      <c r="D13" s="863">
        <f t="shared" ca="1" si="2"/>
        <v>-1090403.4705925684</v>
      </c>
      <c r="E13" s="1035">
        <f t="shared" ca="1" si="1"/>
        <v>0</v>
      </c>
      <c r="F13" s="1035"/>
      <c r="G13" s="854"/>
      <c r="H13" s="854"/>
      <c r="I13" s="854"/>
      <c r="J13" s="854"/>
    </row>
    <row r="14" spans="1:10" s="855" customFormat="1" x14ac:dyDescent="0.2">
      <c r="A14" s="862">
        <v>6</v>
      </c>
      <c r="B14" s="863">
        <f ca="1">Resultados_FluxoCaixa!$I12</f>
        <v>312323.30391494086</v>
      </c>
      <c r="C14" s="863">
        <f t="shared" ca="1" si="0"/>
        <v>312323.30391494086</v>
      </c>
      <c r="D14" s="863">
        <f t="shared" ref="D14:D33" ca="1" si="3">D13+C14</f>
        <v>-778080.16667762748</v>
      </c>
      <c r="E14" s="1035">
        <f t="shared" ca="1" si="1"/>
        <v>0</v>
      </c>
      <c r="F14" s="1035"/>
      <c r="G14" s="854"/>
      <c r="H14" s="854"/>
      <c r="I14" s="854"/>
      <c r="J14" s="854"/>
    </row>
    <row r="15" spans="1:10" s="855" customFormat="1" x14ac:dyDescent="0.2">
      <c r="A15" s="864">
        <v>7</v>
      </c>
      <c r="B15" s="863">
        <f ca="1">Resultados_FluxoCaixa!$J$12</f>
        <v>295099.94094766828</v>
      </c>
      <c r="C15" s="863">
        <f t="shared" ca="1" si="0"/>
        <v>295099.94094766828</v>
      </c>
      <c r="D15" s="863">
        <f t="shared" ca="1" si="3"/>
        <v>-482980.2257299592</v>
      </c>
      <c r="E15" s="1035">
        <f t="shared" ca="1" si="1"/>
        <v>0</v>
      </c>
      <c r="F15" s="1035"/>
      <c r="G15" s="854"/>
      <c r="H15" s="854"/>
      <c r="I15" s="854"/>
      <c r="J15" s="854"/>
    </row>
    <row r="16" spans="1:10" s="855" customFormat="1" x14ac:dyDescent="0.2">
      <c r="A16" s="862">
        <v>8</v>
      </c>
      <c r="B16" s="863">
        <f ca="1">Resultados_FluxoCaixa!$K$12</f>
        <v>333504.89995857707</v>
      </c>
      <c r="C16" s="863">
        <f t="shared" ca="1" si="0"/>
        <v>333504.89995857707</v>
      </c>
      <c r="D16" s="863">
        <f t="shared" ca="1" si="3"/>
        <v>-149475.32577138214</v>
      </c>
      <c r="E16" s="1035">
        <f t="shared" ca="1" si="1"/>
        <v>8.2179043237695026</v>
      </c>
      <c r="F16" s="1035"/>
      <c r="G16" s="854"/>
      <c r="H16" s="854"/>
      <c r="I16" s="854"/>
      <c r="J16" s="854"/>
    </row>
    <row r="17" spans="1:10" s="855" customFormat="1" x14ac:dyDescent="0.2">
      <c r="A17" s="864">
        <v>9</v>
      </c>
      <c r="B17" s="863">
        <f ca="1">Resultados_FluxoCaixa!$L$12</f>
        <v>685967.69070766843</v>
      </c>
      <c r="C17" s="863">
        <f t="shared" ca="1" si="0"/>
        <v>685967.69070766843</v>
      </c>
      <c r="D17" s="863">
        <f t="shared" ca="1" si="3"/>
        <v>536492.36493628635</v>
      </c>
      <c r="E17" s="1035">
        <f t="shared" ca="1" si="1"/>
        <v>0</v>
      </c>
      <c r="F17" s="1035"/>
      <c r="G17" s="854"/>
      <c r="H17" s="854"/>
      <c r="I17" s="854"/>
      <c r="J17" s="854"/>
    </row>
    <row r="18" spans="1:10" s="855" customFormat="1" x14ac:dyDescent="0.2">
      <c r="A18" s="862">
        <v>10</v>
      </c>
      <c r="B18" s="863">
        <f ca="1">Resultados_FluxoCaixa!$M$12</f>
        <v>-323120.33849233127</v>
      </c>
      <c r="C18" s="863">
        <f t="shared" ca="1" si="0"/>
        <v>-323120.33849233127</v>
      </c>
      <c r="D18" s="863">
        <f t="shared" ca="1" si="3"/>
        <v>213372.02644395508</v>
      </c>
      <c r="E18" s="1035">
        <f t="shared" ca="1" si="1"/>
        <v>0</v>
      </c>
      <c r="F18" s="1035"/>
      <c r="G18" s="854"/>
      <c r="H18" s="854"/>
      <c r="I18" s="854"/>
      <c r="J18" s="854"/>
    </row>
    <row r="19" spans="1:10" s="855" customFormat="1" x14ac:dyDescent="0.2">
      <c r="A19" s="864">
        <v>11</v>
      </c>
      <c r="B19" s="863">
        <f ca="1">Resultados_FluxoCaixa!$N$12</f>
        <v>493404.37632221344</v>
      </c>
      <c r="C19" s="863">
        <f ca="1">PV($B$6,A19,,-B19)</f>
        <v>493404.37632221344</v>
      </c>
      <c r="D19" s="863">
        <f t="shared" ca="1" si="3"/>
        <v>706776.40276616858</v>
      </c>
      <c r="E19" s="1035">
        <f t="shared" ca="1" si="1"/>
        <v>0</v>
      </c>
      <c r="F19" s="1035"/>
      <c r="G19" s="854"/>
      <c r="H19" s="854"/>
      <c r="I19" s="854"/>
      <c r="J19" s="854"/>
    </row>
    <row r="20" spans="1:10" s="855" customFormat="1" x14ac:dyDescent="0.2">
      <c r="A20" s="862">
        <v>12</v>
      </c>
      <c r="B20" s="863">
        <f ca="1">Resultados_FluxoCaixa!$O$12</f>
        <v>477127.90027857723</v>
      </c>
      <c r="C20" s="863">
        <f t="shared" ca="1" si="0"/>
        <v>477127.90027857723</v>
      </c>
      <c r="D20" s="863">
        <f t="shared" ca="1" si="3"/>
        <v>1183904.3030447457</v>
      </c>
      <c r="E20" s="1035">
        <f t="shared" ca="1" si="1"/>
        <v>0</v>
      </c>
      <c r="F20" s="1035"/>
      <c r="G20" s="854"/>
      <c r="H20" s="854"/>
      <c r="I20" s="854"/>
      <c r="J20" s="854"/>
    </row>
    <row r="21" spans="1:10" s="855" customFormat="1" x14ac:dyDescent="0.2">
      <c r="A21" s="864">
        <v>13</v>
      </c>
      <c r="B21" s="863">
        <f ca="1">Resultados_FluxoCaixa!$P$12</f>
        <v>-98164.925845059232</v>
      </c>
      <c r="C21" s="863">
        <f t="shared" ca="1" si="0"/>
        <v>-98164.925845059232</v>
      </c>
      <c r="D21" s="863">
        <f t="shared" ca="1" si="3"/>
        <v>1085739.3771996864</v>
      </c>
      <c r="E21" s="1035">
        <f t="shared" ca="1" si="1"/>
        <v>0</v>
      </c>
      <c r="F21" s="1035"/>
      <c r="G21" s="854"/>
      <c r="H21" s="854"/>
      <c r="I21" s="854"/>
      <c r="J21" s="854"/>
    </row>
    <row r="22" spans="1:10" s="855" customFormat="1" x14ac:dyDescent="0.2">
      <c r="A22" s="862">
        <v>14</v>
      </c>
      <c r="B22" s="863">
        <f ca="1">Resultados_FluxoCaixa!$Q$12</f>
        <v>726769.76675130462</v>
      </c>
      <c r="C22" s="863">
        <f t="shared" ca="1" si="0"/>
        <v>726769.76675130462</v>
      </c>
      <c r="D22" s="863">
        <f t="shared" ca="1" si="3"/>
        <v>1812509.1439509909</v>
      </c>
      <c r="E22" s="1035">
        <f ca="1">IF(D22&lt;0,IF(D23&gt;=0,A22+(-D22/C23),0),0)</f>
        <v>0</v>
      </c>
      <c r="F22" s="1035"/>
      <c r="G22" s="854"/>
      <c r="H22" s="854"/>
      <c r="I22" s="854"/>
      <c r="J22" s="854"/>
    </row>
    <row r="23" spans="1:10" s="855" customFormat="1" x14ac:dyDescent="0.2">
      <c r="A23" s="864">
        <v>15</v>
      </c>
      <c r="B23" s="863">
        <f ca="1">Resultados_FluxoCaixa!$R$12</f>
        <v>2346634.7393985782</v>
      </c>
      <c r="C23" s="863">
        <f t="shared" ca="1" si="0"/>
        <v>2346634.7393985782</v>
      </c>
      <c r="D23" s="863">
        <f t="shared" ca="1" si="3"/>
        <v>4159143.883349569</v>
      </c>
      <c r="E23" s="1035">
        <f t="shared" ca="1" si="1"/>
        <v>0</v>
      </c>
      <c r="F23" s="1035"/>
      <c r="G23" s="854"/>
      <c r="H23" s="854"/>
      <c r="I23" s="854"/>
      <c r="J23" s="854"/>
    </row>
    <row r="24" spans="1:10" s="855" customFormat="1" hidden="1" x14ac:dyDescent="0.2">
      <c r="A24" s="862">
        <v>16</v>
      </c>
      <c r="B24" s="863">
        <f>Resultados_FluxoCaixa!$S$12</f>
        <v>0</v>
      </c>
      <c r="C24" s="863">
        <f t="shared" si="0"/>
        <v>0</v>
      </c>
      <c r="D24" s="863">
        <f t="shared" ca="1" si="3"/>
        <v>4159143.883349569</v>
      </c>
      <c r="E24" s="1035">
        <f t="shared" ca="1" si="1"/>
        <v>0</v>
      </c>
      <c r="F24" s="1035"/>
      <c r="G24" s="854"/>
      <c r="H24" s="854"/>
      <c r="I24" s="854"/>
      <c r="J24" s="854"/>
    </row>
    <row r="25" spans="1:10" s="855" customFormat="1" hidden="1" x14ac:dyDescent="0.2">
      <c r="A25" s="864">
        <v>17</v>
      </c>
      <c r="B25" s="863">
        <f>Resultados_FluxoCaixa!$T$12</f>
        <v>0</v>
      </c>
      <c r="C25" s="863">
        <f t="shared" si="0"/>
        <v>0</v>
      </c>
      <c r="D25" s="863">
        <f t="shared" ca="1" si="3"/>
        <v>4159143.883349569</v>
      </c>
      <c r="E25" s="1035">
        <f t="shared" ca="1" si="1"/>
        <v>0</v>
      </c>
      <c r="F25" s="1035"/>
      <c r="G25" s="854"/>
      <c r="H25" s="854"/>
      <c r="I25" s="854"/>
      <c r="J25" s="854"/>
    </row>
    <row r="26" spans="1:10" s="855" customFormat="1" hidden="1" x14ac:dyDescent="0.2">
      <c r="A26" s="862">
        <v>18</v>
      </c>
      <c r="B26" s="863">
        <f>Resultados_FluxoCaixa!$U$12</f>
        <v>0</v>
      </c>
      <c r="C26" s="863">
        <f t="shared" si="0"/>
        <v>0</v>
      </c>
      <c r="D26" s="863">
        <f t="shared" ca="1" si="3"/>
        <v>4159143.883349569</v>
      </c>
      <c r="E26" s="1035">
        <f t="shared" ca="1" si="1"/>
        <v>0</v>
      </c>
      <c r="F26" s="1035"/>
      <c r="G26" s="854"/>
      <c r="H26" s="854"/>
      <c r="I26" s="854"/>
      <c r="J26" s="854"/>
    </row>
    <row r="27" spans="1:10" s="855" customFormat="1" hidden="1" x14ac:dyDescent="0.2">
      <c r="A27" s="864">
        <v>19</v>
      </c>
      <c r="B27" s="863">
        <f>Resultados_FluxoCaixa!$V$12</f>
        <v>0</v>
      </c>
      <c r="C27" s="863">
        <f t="shared" si="0"/>
        <v>0</v>
      </c>
      <c r="D27" s="863">
        <f t="shared" ca="1" si="3"/>
        <v>4159143.883349569</v>
      </c>
      <c r="E27" s="1035">
        <f t="shared" ref="E27:E33" ca="1" si="4">IF(D27&lt;0,IF(D33&gt;=0,A27+(-D27/C33),0),0)</f>
        <v>0</v>
      </c>
      <c r="F27" s="1035"/>
      <c r="G27" s="854"/>
      <c r="H27" s="854"/>
      <c r="I27" s="854"/>
      <c r="J27" s="854"/>
    </row>
    <row r="28" spans="1:10" s="855" customFormat="1" hidden="1" x14ac:dyDescent="0.2">
      <c r="A28" s="862">
        <v>20</v>
      </c>
      <c r="B28" s="863">
        <f>Resultados_FluxoCaixa!$W$12</f>
        <v>0</v>
      </c>
      <c r="C28" s="863">
        <f t="shared" si="0"/>
        <v>0</v>
      </c>
      <c r="D28" s="863">
        <f t="shared" ca="1" si="3"/>
        <v>4159143.883349569</v>
      </c>
      <c r="E28" s="1035">
        <f t="shared" ca="1" si="4"/>
        <v>0</v>
      </c>
      <c r="F28" s="1035"/>
      <c r="G28" s="854"/>
      <c r="H28" s="854"/>
      <c r="I28" s="854"/>
      <c r="J28" s="854"/>
    </row>
    <row r="29" spans="1:10" s="855" customFormat="1" hidden="1" x14ac:dyDescent="0.2">
      <c r="A29" s="864">
        <v>21</v>
      </c>
      <c r="B29" s="863">
        <f>Resultados_FluxoCaixa!$X$12</f>
        <v>0</v>
      </c>
      <c r="C29" s="863">
        <f t="shared" si="0"/>
        <v>0</v>
      </c>
      <c r="D29" s="863">
        <f t="shared" ca="1" si="3"/>
        <v>4159143.883349569</v>
      </c>
      <c r="E29" s="1035">
        <f t="shared" ca="1" si="4"/>
        <v>0</v>
      </c>
      <c r="F29" s="1035"/>
      <c r="G29" s="854"/>
      <c r="H29" s="854"/>
      <c r="I29" s="854"/>
      <c r="J29" s="854"/>
    </row>
    <row r="30" spans="1:10" s="855" customFormat="1" hidden="1" x14ac:dyDescent="0.2">
      <c r="A30" s="862">
        <v>22</v>
      </c>
      <c r="B30" s="863">
        <f>Resultados_FluxoCaixa!$Y$12</f>
        <v>0</v>
      </c>
      <c r="C30" s="863">
        <f t="shared" si="0"/>
        <v>0</v>
      </c>
      <c r="D30" s="863">
        <f t="shared" ca="1" si="3"/>
        <v>4159143.883349569</v>
      </c>
      <c r="E30" s="1035">
        <f t="shared" ca="1" si="4"/>
        <v>0</v>
      </c>
      <c r="F30" s="1035"/>
      <c r="G30" s="854"/>
      <c r="H30" s="854"/>
      <c r="I30" s="854"/>
      <c r="J30" s="854"/>
    </row>
    <row r="31" spans="1:10" s="855" customFormat="1" hidden="1" x14ac:dyDescent="0.2">
      <c r="A31" s="864">
        <v>23</v>
      </c>
      <c r="B31" s="863">
        <f>Resultados_FluxoCaixa!$Z$12</f>
        <v>0</v>
      </c>
      <c r="C31" s="863">
        <f t="shared" si="0"/>
        <v>0</v>
      </c>
      <c r="D31" s="863">
        <f t="shared" ca="1" si="3"/>
        <v>4159143.883349569</v>
      </c>
      <c r="E31" s="1035">
        <f t="shared" ca="1" si="4"/>
        <v>0</v>
      </c>
      <c r="F31" s="1035"/>
      <c r="G31" s="854"/>
      <c r="H31" s="854"/>
      <c r="I31" s="854"/>
      <c r="J31" s="854"/>
    </row>
    <row r="32" spans="1:10" s="855" customFormat="1" hidden="1" x14ac:dyDescent="0.2">
      <c r="A32" s="862">
        <v>24</v>
      </c>
      <c r="B32" s="863">
        <f>Resultados_FluxoCaixa!$AA$12</f>
        <v>0</v>
      </c>
      <c r="C32" s="863">
        <f t="shared" si="0"/>
        <v>0</v>
      </c>
      <c r="D32" s="863">
        <f t="shared" ca="1" si="3"/>
        <v>4159143.883349569</v>
      </c>
      <c r="E32" s="1035">
        <f t="shared" ca="1" si="4"/>
        <v>0</v>
      </c>
      <c r="F32" s="1035"/>
      <c r="G32" s="854"/>
      <c r="H32" s="854"/>
      <c r="I32" s="854"/>
      <c r="J32" s="854"/>
    </row>
    <row r="33" spans="1:10" s="855" customFormat="1" hidden="1" x14ac:dyDescent="0.2">
      <c r="A33" s="864">
        <v>25</v>
      </c>
      <c r="B33" s="863">
        <f>Resultados_FluxoCaixa!$AB$12</f>
        <v>0</v>
      </c>
      <c r="C33" s="863">
        <f t="shared" si="0"/>
        <v>0</v>
      </c>
      <c r="D33" s="863">
        <f t="shared" ca="1" si="3"/>
        <v>4159143.883349569</v>
      </c>
      <c r="E33" s="1035">
        <f t="shared" ca="1" si="4"/>
        <v>0</v>
      </c>
      <c r="F33" s="1035"/>
      <c r="G33" s="854"/>
      <c r="H33" s="854"/>
      <c r="I33" s="854"/>
      <c r="J33" s="854"/>
    </row>
    <row r="34" spans="1:10" s="855" customFormat="1" x14ac:dyDescent="0.2">
      <c r="A34" s="865"/>
      <c r="B34" s="866"/>
      <c r="C34" s="866"/>
      <c r="D34" s="867" t="s">
        <v>1330</v>
      </c>
      <c r="E34" s="868">
        <f ca="1">IF(ISERR(MAX(E8:E33)-B5),"Não se Paga",MAX(E8:E33)-B5)</f>
        <v>8.2179043237695026</v>
      </c>
      <c r="F34" s="868" t="s">
        <v>140</v>
      </c>
      <c r="G34" s="869"/>
      <c r="H34" s="854"/>
      <c r="I34" s="854"/>
      <c r="J34" s="854"/>
    </row>
    <row r="35" spans="1:10" s="855" customFormat="1" x14ac:dyDescent="0.2">
      <c r="A35" s="869"/>
      <c r="B35" s="869"/>
      <c r="C35" s="869"/>
      <c r="D35" s="853"/>
      <c r="E35" s="853"/>
      <c r="F35" s="869"/>
      <c r="G35" s="869"/>
      <c r="H35" s="854"/>
      <c r="I35" s="854"/>
      <c r="J35" s="854"/>
    </row>
    <row r="37" spans="1:10" x14ac:dyDescent="0.2">
      <c r="G37" s="853" t="s">
        <v>1265</v>
      </c>
    </row>
  </sheetData>
  <sheetProtection algorithmName="SHA-512" hashValue="q+VJ0iyswVgnr3uuiZtyVSzvR2wXl3FGWIw2CdxP0cBZSw23GyoW/pgJ2nfnfnvWuyJ5apPFXWwleKp2ibbXPA==" saltValue="dhBP/HewahLfL+RecqHjcg==" spinCount="100000" sheet="1" objects="1" scenarios="1"/>
  <mergeCells count="30">
    <mergeCell ref="E9:F9"/>
    <mergeCell ref="A3:F3"/>
    <mergeCell ref="B5:C5"/>
    <mergeCell ref="B6:C6"/>
    <mergeCell ref="E7:F7"/>
    <mergeCell ref="E8:F8"/>
    <mergeCell ref="E21:F21"/>
    <mergeCell ref="E10:F10"/>
    <mergeCell ref="E11:F11"/>
    <mergeCell ref="E12:F12"/>
    <mergeCell ref="E13:F13"/>
    <mergeCell ref="E14:F14"/>
    <mergeCell ref="E15:F15"/>
    <mergeCell ref="E16:F16"/>
    <mergeCell ref="E17:F17"/>
    <mergeCell ref="E18:F18"/>
    <mergeCell ref="E19:F19"/>
    <mergeCell ref="E20:F20"/>
    <mergeCell ref="E33:F33"/>
    <mergeCell ref="E22:F22"/>
    <mergeCell ref="E23:F23"/>
    <mergeCell ref="E24:F24"/>
    <mergeCell ref="E25:F25"/>
    <mergeCell ref="E26:F26"/>
    <mergeCell ref="E27:F27"/>
    <mergeCell ref="E28:F28"/>
    <mergeCell ref="E29:F29"/>
    <mergeCell ref="E30:F30"/>
    <mergeCell ref="E31:F31"/>
    <mergeCell ref="E32:F32"/>
  </mergeCells>
  <pageMargins left="0.78740157499999996" right="0.78740157499999996" top="0.984251969" bottom="0.984251969" header="0.49212598499999999" footer="0.49212598499999999"/>
  <pageSetup orientation="portrait" horizontalDpi="200" verticalDpi="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CF49-3AE6-4803-A9D2-BA9F8F233127}">
  <sheetPr>
    <tabColor theme="6" tint="0.39997558519241921"/>
  </sheetPr>
  <dimension ref="A1:W70"/>
  <sheetViews>
    <sheetView showGridLines="0" view="pageBreakPreview" zoomScaleNormal="100" zoomScaleSheetLayoutView="100" workbookViewId="0">
      <selection activeCell="B1" sqref="B1"/>
    </sheetView>
  </sheetViews>
  <sheetFormatPr defaultColWidth="8.85546875" defaultRowHeight="15" customHeight="1" x14ac:dyDescent="0.25"/>
  <cols>
    <col min="1" max="1" width="2.7109375" style="900" customWidth="1"/>
    <col min="2" max="2" width="45.28515625" style="900" bestFit="1" customWidth="1"/>
    <col min="3" max="8" width="11.5703125" style="900" customWidth="1"/>
    <col min="9" max="12" width="10.42578125" style="901" customWidth="1"/>
    <col min="13" max="13" width="12.42578125" style="901" customWidth="1"/>
    <col min="14" max="14" width="8.85546875" style="901"/>
    <col min="15" max="16" width="8.85546875" style="900"/>
    <col min="17" max="17" width="14.28515625" style="900" bestFit="1" customWidth="1"/>
    <col min="18" max="18" width="15.85546875" style="900" bestFit="1" customWidth="1"/>
    <col min="19" max="16384" width="8.85546875" style="900"/>
  </cols>
  <sheetData>
    <row r="1" spans="2:9" ht="15" customHeight="1" x14ac:dyDescent="0.25">
      <c r="B1" s="560" t="s">
        <v>1182</v>
      </c>
    </row>
    <row r="2" spans="2:9" ht="15" customHeight="1" x14ac:dyDescent="0.25">
      <c r="B2" s="12"/>
    </row>
    <row r="3" spans="2:9" ht="15" customHeight="1" x14ac:dyDescent="0.25">
      <c r="B3" s="560" t="str">
        <f>"Indices Econômicos (Boletim Focus "&amp;RIGHT(FC_Premissas!B13,11)</f>
        <v>Indices Econômicos (Boletim Focus 08/12/2023)</v>
      </c>
    </row>
    <row r="4" spans="2:9" ht="15" customHeight="1" x14ac:dyDescent="0.25">
      <c r="B4" s="912" t="s">
        <v>1326</v>
      </c>
      <c r="C4" s="912">
        <v>2024</v>
      </c>
      <c r="D4" s="912">
        <f>C4+1</f>
        <v>2025</v>
      </c>
      <c r="E4" s="912">
        <f>D4+1</f>
        <v>2026</v>
      </c>
      <c r="F4" s="912">
        <f>E4+1</f>
        <v>2027</v>
      </c>
      <c r="G4" s="912">
        <f>F4+1</f>
        <v>2028</v>
      </c>
      <c r="H4" s="902" t="s">
        <v>1420</v>
      </c>
    </row>
    <row r="5" spans="2:9" ht="15" customHeight="1" x14ac:dyDescent="0.25">
      <c r="B5" s="912" t="s">
        <v>1393</v>
      </c>
      <c r="C5" s="922">
        <f>FC_Premissas!D15*100</f>
        <v>3.93</v>
      </c>
      <c r="D5" s="922">
        <f>FC_Premissas!E15*100</f>
        <v>3.5000000000000004</v>
      </c>
      <c r="E5" s="922">
        <f>FC_Premissas!F15*100</f>
        <v>3.5000000000000004</v>
      </c>
      <c r="F5" s="922">
        <f>FC_Premissas!G15*100</f>
        <v>3.5000000000000004</v>
      </c>
      <c r="G5" s="922">
        <f>FC_Premissas!H15*100</f>
        <v>3.5000000000000004</v>
      </c>
      <c r="H5" s="903">
        <f>AVERAGE(C5:F5)</f>
        <v>3.6075000000000004</v>
      </c>
    </row>
    <row r="6" spans="2:9" ht="15" customHeight="1" x14ac:dyDescent="0.25">
      <c r="B6" s="912" t="s">
        <v>1342</v>
      </c>
      <c r="C6" s="922">
        <f>FC_Premissas!D16*100</f>
        <v>9.25</v>
      </c>
      <c r="D6" s="922">
        <f>FC_Premissas!E16*100</f>
        <v>8.5</v>
      </c>
      <c r="E6" s="922">
        <f>FC_Premissas!F16*100</f>
        <v>8.5</v>
      </c>
      <c r="F6" s="922">
        <f>FC_Premissas!G16*100</f>
        <v>8.5</v>
      </c>
      <c r="G6" s="922">
        <f>FC_Premissas!H16*100</f>
        <v>8.5</v>
      </c>
      <c r="H6" s="903">
        <f>AVERAGE(C6:F6)</f>
        <v>8.6875</v>
      </c>
    </row>
    <row r="7" spans="2:9" ht="15" customHeight="1" x14ac:dyDescent="0.25">
      <c r="B7" s="912" t="s">
        <v>1344</v>
      </c>
      <c r="C7" s="923">
        <f>(C6/100+1)/(C5/100+1)-1</f>
        <v>5.1188299817184868E-2</v>
      </c>
      <c r="D7" s="923">
        <f t="shared" ref="D7:G7" si="0">(D6/100+1)/(D5/100+1)-1</f>
        <v>4.8309178743961345E-2</v>
      </c>
      <c r="E7" s="923">
        <f t="shared" si="0"/>
        <v>4.8309178743961345E-2</v>
      </c>
      <c r="F7" s="923">
        <f t="shared" si="0"/>
        <v>4.8309178743961345E-2</v>
      </c>
      <c r="G7" s="896">
        <f t="shared" si="0"/>
        <v>4.8309178743961345E-2</v>
      </c>
      <c r="H7" s="896">
        <f>(H6/100+1)/(H5/100+1)-1</f>
        <v>4.903119947880219E-2</v>
      </c>
    </row>
    <row r="8" spans="2:9" ht="15" customHeight="1" x14ac:dyDescent="0.25">
      <c r="B8" s="935"/>
      <c r="C8" s="936"/>
      <c r="D8" s="936"/>
      <c r="E8" s="936"/>
      <c r="F8" s="936"/>
      <c r="G8" s="937"/>
      <c r="H8" s="937"/>
    </row>
    <row r="9" spans="2:9" ht="15" customHeight="1" x14ac:dyDescent="0.25">
      <c r="B9" s="894"/>
      <c r="D9" s="901"/>
      <c r="E9" s="901"/>
      <c r="F9" s="901"/>
      <c r="G9" s="904"/>
      <c r="H9" s="904"/>
    </row>
    <row r="10" spans="2:9" ht="15" customHeight="1" x14ac:dyDescent="0.25">
      <c r="B10" s="912" t="s">
        <v>1340</v>
      </c>
      <c r="C10" s="921" t="s">
        <v>1348</v>
      </c>
      <c r="D10" s="1054" t="s">
        <v>1352</v>
      </c>
      <c r="E10" s="1054"/>
      <c r="F10" s="1054"/>
      <c r="G10" s="1054"/>
      <c r="H10" s="1054"/>
      <c r="I10" s="1054"/>
    </row>
    <row r="11" spans="2:9" ht="30" customHeight="1" x14ac:dyDescent="0.25">
      <c r="B11" s="912" t="s">
        <v>1351</v>
      </c>
      <c r="C11" s="958">
        <v>4.6800000000000001E-2</v>
      </c>
      <c r="D11" s="1055" t="s">
        <v>1411</v>
      </c>
      <c r="E11" s="1055"/>
      <c r="F11" s="1055"/>
      <c r="G11" s="1055"/>
      <c r="H11" s="1055"/>
      <c r="I11" s="1055"/>
    </row>
    <row r="12" spans="2:9" ht="44.25" customHeight="1" x14ac:dyDescent="0.25">
      <c r="B12" s="912" t="s">
        <v>1354</v>
      </c>
      <c r="C12" s="954">
        <v>3.1399999999999997E-2</v>
      </c>
      <c r="D12" s="1055" t="s">
        <v>1412</v>
      </c>
      <c r="E12" s="1055"/>
      <c r="F12" s="1055"/>
      <c r="G12" s="1055"/>
      <c r="H12" s="1055"/>
      <c r="I12" s="1055"/>
    </row>
    <row r="13" spans="2:9" ht="15" customHeight="1" x14ac:dyDescent="0.25">
      <c r="B13" s="921" t="s">
        <v>1356</v>
      </c>
      <c r="C13" s="958">
        <f>C11-C12</f>
        <v>1.5400000000000004E-2</v>
      </c>
      <c r="D13" s="1056"/>
      <c r="E13" s="1056"/>
      <c r="F13" s="1056"/>
      <c r="G13" s="1056"/>
      <c r="H13" s="1056"/>
      <c r="I13" s="1056"/>
    </row>
    <row r="15" spans="2:9" ht="15" customHeight="1" x14ac:dyDescent="0.25">
      <c r="B15" s="12"/>
    </row>
    <row r="16" spans="2:9" ht="15" customHeight="1" x14ac:dyDescent="0.25">
      <c r="B16" s="12"/>
    </row>
    <row r="17" spans="2:9" ht="15" customHeight="1" x14ac:dyDescent="0.25">
      <c r="B17" s="560" t="s">
        <v>1402</v>
      </c>
    </row>
    <row r="18" spans="2:9" ht="15" customHeight="1" x14ac:dyDescent="0.25">
      <c r="B18" s="916" t="s">
        <v>1395</v>
      </c>
      <c r="C18" s="916" t="s">
        <v>1331</v>
      </c>
      <c r="D18" s="916" t="s">
        <v>1332</v>
      </c>
      <c r="E18" s="916" t="s">
        <v>1396</v>
      </c>
      <c r="F18" s="1044" t="s">
        <v>1352</v>
      </c>
      <c r="G18" s="1045"/>
      <c r="H18" s="1045"/>
      <c r="I18" s="1046"/>
    </row>
    <row r="19" spans="2:9" ht="52.5" customHeight="1" x14ac:dyDescent="0.25">
      <c r="B19" s="933" t="s">
        <v>1357</v>
      </c>
      <c r="C19" s="898" t="s">
        <v>1413</v>
      </c>
      <c r="D19" s="906">
        <f>C11+5.56%</f>
        <v>0.10239999999999999</v>
      </c>
      <c r="E19" s="906">
        <f>D19+1</f>
        <v>1.1024</v>
      </c>
      <c r="F19" s="1052" t="s">
        <v>1414</v>
      </c>
      <c r="G19" s="1052"/>
      <c r="H19" s="1052"/>
      <c r="I19" s="1052"/>
    </row>
    <row r="20" spans="2:9" ht="15" customHeight="1" x14ac:dyDescent="0.25">
      <c r="B20" s="933" t="s">
        <v>1398</v>
      </c>
      <c r="C20" s="906" t="s">
        <v>1388</v>
      </c>
      <c r="D20" s="906">
        <v>1.2999999999999999E-2</v>
      </c>
      <c r="E20" s="906">
        <f>D20+1</f>
        <v>1.0129999999999999</v>
      </c>
      <c r="F20" s="1052" t="s">
        <v>1397</v>
      </c>
      <c r="G20" s="1052"/>
      <c r="H20" s="1052"/>
      <c r="I20" s="1052"/>
    </row>
    <row r="21" spans="2:9" ht="15" customHeight="1" x14ac:dyDescent="0.25">
      <c r="B21" s="933" t="s">
        <v>1399</v>
      </c>
      <c r="C21" s="898" t="s">
        <v>1358</v>
      </c>
      <c r="D21" s="906">
        <v>3.5000000000000003E-2</v>
      </c>
      <c r="E21" s="906">
        <f>D21+1</f>
        <v>1.0349999999999999</v>
      </c>
      <c r="F21" s="1052" t="s">
        <v>1350</v>
      </c>
      <c r="G21" s="1052"/>
      <c r="H21" s="1052"/>
      <c r="I21" s="1052"/>
    </row>
    <row r="22" spans="2:9" ht="15" customHeight="1" x14ac:dyDescent="0.25">
      <c r="B22" s="916" t="s">
        <v>1400</v>
      </c>
      <c r="C22" s="907"/>
      <c r="D22" s="956"/>
      <c r="E22" s="956">
        <f>E19*E20*E21-1</f>
        <v>0.15581679199999998</v>
      </c>
      <c r="F22" s="1053"/>
      <c r="G22" s="1053"/>
      <c r="H22" s="1053"/>
      <c r="I22" s="1053"/>
    </row>
    <row r="23" spans="2:9" ht="15" customHeight="1" x14ac:dyDescent="0.25">
      <c r="B23" s="12"/>
    </row>
    <row r="24" spans="2:9" ht="15" customHeight="1" x14ac:dyDescent="0.25">
      <c r="B24" s="12"/>
    </row>
    <row r="25" spans="2:9" ht="15" customHeight="1" x14ac:dyDescent="0.25">
      <c r="B25" s="908" t="s">
        <v>1392</v>
      </c>
    </row>
    <row r="26" spans="2:9" ht="15" customHeight="1" x14ac:dyDescent="0.25">
      <c r="B26" s="921" t="s">
        <v>1395</v>
      </c>
      <c r="C26" s="921" t="s">
        <v>1244</v>
      </c>
      <c r="D26" s="921" t="s">
        <v>1332</v>
      </c>
      <c r="E26" s="1051" t="s">
        <v>1352</v>
      </c>
      <c r="F26" s="1051"/>
      <c r="G26" s="1051"/>
      <c r="H26" s="1051"/>
      <c r="I26" s="1051"/>
    </row>
    <row r="27" spans="2:9" ht="45" customHeight="1" x14ac:dyDescent="0.25">
      <c r="B27" s="933" t="s">
        <v>1362</v>
      </c>
      <c r="C27" s="917" t="s">
        <v>1359</v>
      </c>
      <c r="D27" s="918">
        <v>0.66639999999999999</v>
      </c>
      <c r="E27" s="1052" t="s">
        <v>1394</v>
      </c>
      <c r="F27" s="1052"/>
      <c r="G27" s="1052"/>
      <c r="H27" s="1052"/>
      <c r="I27" s="1052"/>
    </row>
    <row r="28" spans="2:9" ht="15" customHeight="1" x14ac:dyDescent="0.25">
      <c r="B28" s="933" t="s">
        <v>1361</v>
      </c>
      <c r="C28" s="917" t="s">
        <v>1336</v>
      </c>
      <c r="D28" s="919">
        <f>IFERROR(D30/D29,0)</f>
        <v>1.5</v>
      </c>
      <c r="E28" s="1047" t="s">
        <v>1350</v>
      </c>
      <c r="F28" s="1047"/>
      <c r="G28" s="1047"/>
      <c r="H28" s="1047"/>
      <c r="I28" s="1047"/>
    </row>
    <row r="29" spans="2:9" ht="15" customHeight="1" x14ac:dyDescent="0.25">
      <c r="B29" s="933" t="s">
        <v>1349</v>
      </c>
      <c r="C29" s="917" t="s">
        <v>68</v>
      </c>
      <c r="D29" s="924">
        <f>FC_Premissas!D39*100</f>
        <v>40</v>
      </c>
      <c r="E29" s="1047" t="s">
        <v>1350</v>
      </c>
      <c r="F29" s="1047"/>
      <c r="G29" s="1047"/>
      <c r="H29" s="1047"/>
      <c r="I29" s="1047"/>
    </row>
    <row r="30" spans="2:9" ht="15" customHeight="1" x14ac:dyDescent="0.25">
      <c r="B30" s="933" t="s">
        <v>1353</v>
      </c>
      <c r="C30" s="917" t="s">
        <v>68</v>
      </c>
      <c r="D30" s="920">
        <f>100-D29</f>
        <v>60</v>
      </c>
      <c r="E30" s="1047" t="s">
        <v>1350</v>
      </c>
      <c r="F30" s="1047"/>
      <c r="G30" s="1047"/>
      <c r="H30" s="1047"/>
      <c r="I30" s="1047"/>
    </row>
    <row r="31" spans="2:9" ht="15" customHeight="1" x14ac:dyDescent="0.25">
      <c r="B31" s="933" t="s">
        <v>1363</v>
      </c>
      <c r="C31" s="917" t="s">
        <v>68</v>
      </c>
      <c r="D31" s="924">
        <f>SUM(FC_Premissas!D24:D26)*100</f>
        <v>34</v>
      </c>
      <c r="E31" s="1047" t="s">
        <v>1364</v>
      </c>
      <c r="F31" s="1047"/>
      <c r="G31" s="1047"/>
      <c r="H31" s="1047"/>
      <c r="I31" s="1047"/>
    </row>
    <row r="32" spans="2:9" ht="30" customHeight="1" x14ac:dyDescent="0.25">
      <c r="B32" s="933" t="s">
        <v>1365</v>
      </c>
      <c r="C32" s="917" t="s">
        <v>1359</v>
      </c>
      <c r="D32" s="918">
        <f>D27*(1+D28*(1-D31/100))</f>
        <v>1.3261359999999998</v>
      </c>
      <c r="E32" s="1047" t="s">
        <v>1360</v>
      </c>
      <c r="F32" s="1047"/>
      <c r="G32" s="1047"/>
      <c r="H32" s="1047"/>
      <c r="I32" s="1047"/>
    </row>
    <row r="33" spans="1:23" ht="15" customHeight="1" x14ac:dyDescent="0.25">
      <c r="B33" s="12"/>
    </row>
    <row r="35" spans="1:23" s="909" customFormat="1" ht="15" customHeight="1" x14ac:dyDescent="0.25">
      <c r="B35" s="908" t="s">
        <v>1341</v>
      </c>
      <c r="F35" s="900"/>
      <c r="W35" s="900"/>
    </row>
    <row r="36" spans="1:23" s="909" customFormat="1" ht="15" customHeight="1" x14ac:dyDescent="0.25">
      <c r="B36" s="895" t="s">
        <v>1395</v>
      </c>
      <c r="C36" s="895" t="s">
        <v>1244</v>
      </c>
      <c r="D36" s="895" t="s">
        <v>1332</v>
      </c>
      <c r="E36" s="1048" t="s">
        <v>1403</v>
      </c>
      <c r="F36" s="1048"/>
      <c r="G36" s="1048"/>
      <c r="H36" s="1048"/>
      <c r="I36" s="1048"/>
      <c r="W36" s="900"/>
    </row>
    <row r="37" spans="1:23" s="911" customFormat="1" ht="30.75" customHeight="1" x14ac:dyDescent="0.25">
      <c r="A37" s="910"/>
      <c r="B37" s="934" t="s">
        <v>1333</v>
      </c>
      <c r="C37" s="896" t="s">
        <v>68</v>
      </c>
      <c r="D37" s="957">
        <v>2.9434</v>
      </c>
      <c r="E37" s="1049" t="s">
        <v>1415</v>
      </c>
      <c r="F37" s="1049"/>
      <c r="G37" s="1049"/>
      <c r="H37" s="1049"/>
      <c r="I37" s="1049"/>
      <c r="W37" s="900"/>
    </row>
    <row r="38" spans="1:23" s="911" customFormat="1" ht="60.75" customHeight="1" x14ac:dyDescent="0.2">
      <c r="A38" s="910"/>
      <c r="B38" s="934" t="s">
        <v>1334</v>
      </c>
      <c r="C38" s="896" t="s">
        <v>68</v>
      </c>
      <c r="D38" s="955">
        <v>2.6709999999999998</v>
      </c>
      <c r="E38" s="1042" t="s">
        <v>1416</v>
      </c>
      <c r="F38" s="1042"/>
      <c r="G38" s="1042"/>
      <c r="H38" s="1042"/>
      <c r="I38" s="1042"/>
    </row>
    <row r="39" spans="1:23" s="894" customFormat="1" ht="39.950000000000003" customHeight="1" x14ac:dyDescent="0.2">
      <c r="B39" s="934" t="s">
        <v>1335</v>
      </c>
      <c r="C39" s="925" t="s">
        <v>1336</v>
      </c>
      <c r="D39" s="897">
        <f>D32</f>
        <v>1.3261359999999998</v>
      </c>
      <c r="E39" s="1042" t="s">
        <v>1337</v>
      </c>
      <c r="F39" s="1042"/>
      <c r="G39" s="1042"/>
      <c r="H39" s="1042"/>
      <c r="I39" s="1042"/>
      <c r="N39" s="904"/>
    </row>
    <row r="40" spans="1:23" s="894" customFormat="1" ht="39.950000000000003" customHeight="1" x14ac:dyDescent="0.2">
      <c r="B40" s="934" t="s">
        <v>1401</v>
      </c>
      <c r="C40" s="898"/>
      <c r="D40" s="926">
        <v>8.4482400000000002</v>
      </c>
      <c r="E40" s="1050" t="s">
        <v>1417</v>
      </c>
      <c r="F40" s="1050"/>
      <c r="G40" s="1050"/>
      <c r="H40" s="1050"/>
      <c r="I40" s="1050"/>
      <c r="N40" s="904"/>
    </row>
    <row r="41" spans="1:23" s="894" customFormat="1" ht="39.950000000000003" customHeight="1" x14ac:dyDescent="0.2">
      <c r="B41" s="934" t="s">
        <v>1338</v>
      </c>
      <c r="C41" s="896" t="s">
        <v>68</v>
      </c>
      <c r="D41" s="899">
        <f>D40-D37</f>
        <v>5.5048399999999997</v>
      </c>
      <c r="E41" s="1042" t="s">
        <v>1339</v>
      </c>
      <c r="F41" s="1042"/>
      <c r="G41" s="1042"/>
      <c r="H41" s="1042"/>
      <c r="I41" s="1042"/>
      <c r="N41" s="904"/>
    </row>
    <row r="42" spans="1:23" s="894" customFormat="1" x14ac:dyDescent="0.2">
      <c r="B42" s="888" t="s">
        <v>1341</v>
      </c>
      <c r="C42" s="927" t="s">
        <v>68</v>
      </c>
      <c r="D42" s="928">
        <f>(((D37+D38+D39*D41)/100+1)-1)*100</f>
        <v>12.91456649824001</v>
      </c>
      <c r="E42" s="1043"/>
      <c r="F42" s="1043"/>
      <c r="G42" s="1043"/>
      <c r="H42" s="1043"/>
      <c r="I42" s="1043"/>
      <c r="N42" s="904"/>
    </row>
    <row r="43" spans="1:23" s="894" customFormat="1" ht="15" customHeight="1" x14ac:dyDescent="0.2">
      <c r="N43" s="904"/>
    </row>
    <row r="44" spans="1:23" s="894" customFormat="1" ht="15" customHeight="1" x14ac:dyDescent="0.2">
      <c r="F44" s="929"/>
      <c r="N44" s="914"/>
    </row>
    <row r="45" spans="1:23" s="894" customFormat="1" ht="15" customHeight="1" x14ac:dyDescent="0.2">
      <c r="B45" s="908" t="s">
        <v>1391</v>
      </c>
    </row>
    <row r="46" spans="1:23" s="894" customFormat="1" ht="15" customHeight="1" x14ac:dyDescent="0.2">
      <c r="B46" s="912" t="s">
        <v>1395</v>
      </c>
      <c r="C46" s="912" t="s">
        <v>1244</v>
      </c>
      <c r="D46" s="912" t="s">
        <v>1332</v>
      </c>
      <c r="E46" s="912" t="s">
        <v>1352</v>
      </c>
      <c r="F46" s="929"/>
    </row>
    <row r="47" spans="1:23" s="894" customFormat="1" ht="15" customHeight="1" x14ac:dyDescent="0.2">
      <c r="B47" s="888" t="s">
        <v>1341</v>
      </c>
      <c r="C47" s="927" t="s">
        <v>68</v>
      </c>
      <c r="D47" s="928">
        <f>D42</f>
        <v>12.91456649824001</v>
      </c>
      <c r="E47" s="938" t="s">
        <v>119</v>
      </c>
    </row>
    <row r="48" spans="1:23" s="894" customFormat="1" ht="15" customHeight="1" x14ac:dyDescent="0.2">
      <c r="B48" s="889" t="s">
        <v>1343</v>
      </c>
      <c r="C48" s="896" t="s">
        <v>68</v>
      </c>
      <c r="D48" s="893">
        <f>E22*100</f>
        <v>15.581679199999998</v>
      </c>
      <c r="E48" s="938" t="s">
        <v>119</v>
      </c>
      <c r="F48" s="929"/>
      <c r="N48" s="904"/>
    </row>
    <row r="49" spans="1:21" s="894" customFormat="1" ht="15" customHeight="1" x14ac:dyDescent="0.25">
      <c r="B49" s="889" t="s">
        <v>1345</v>
      </c>
      <c r="C49" s="896" t="s">
        <v>68</v>
      </c>
      <c r="D49" s="922">
        <f>SUM(FC_Premissas!D24:D26)*100</f>
        <v>34</v>
      </c>
      <c r="E49" s="938" t="s">
        <v>1346</v>
      </c>
      <c r="J49" s="904"/>
      <c r="K49" s="904"/>
      <c r="L49" s="904"/>
    </row>
    <row r="50" spans="1:21" s="894" customFormat="1" ht="15" customHeight="1" x14ac:dyDescent="0.2">
      <c r="B50" s="888" t="s">
        <v>1347</v>
      </c>
      <c r="C50" s="927" t="s">
        <v>68</v>
      </c>
      <c r="D50" s="928">
        <f>D48*(1-D49/100)</f>
        <v>10.283908271999998</v>
      </c>
      <c r="E50" s="938" t="s">
        <v>119</v>
      </c>
      <c r="F50" s="929"/>
      <c r="G50" s="904"/>
      <c r="H50" s="930"/>
      <c r="I50" s="904"/>
      <c r="J50" s="904"/>
      <c r="K50" s="904"/>
      <c r="L50" s="904"/>
      <c r="M50" s="904"/>
      <c r="N50" s="904"/>
    </row>
    <row r="51" spans="1:21" s="894" customFormat="1" ht="15" customHeight="1" x14ac:dyDescent="0.25">
      <c r="B51" s="890" t="s">
        <v>1349</v>
      </c>
      <c r="C51" s="896" t="s">
        <v>68</v>
      </c>
      <c r="D51" s="922">
        <f>FC_Premissas!D39*100</f>
        <v>40</v>
      </c>
      <c r="E51" s="938" t="s">
        <v>1350</v>
      </c>
      <c r="G51" s="904"/>
      <c r="I51" s="904"/>
      <c r="J51" s="904"/>
      <c r="K51" s="904"/>
      <c r="L51" s="904"/>
      <c r="M51" s="904"/>
      <c r="N51" s="904"/>
      <c r="U51" s="913"/>
    </row>
    <row r="52" spans="1:21" s="894" customFormat="1" ht="15" customHeight="1" x14ac:dyDescent="0.25">
      <c r="A52" s="900"/>
      <c r="B52" s="890" t="s">
        <v>1353</v>
      </c>
      <c r="C52" s="896" t="s">
        <v>68</v>
      </c>
      <c r="D52" s="893">
        <f>100-D51</f>
        <v>60</v>
      </c>
      <c r="E52" s="938" t="str">
        <f>E51</f>
        <v>Premissa</v>
      </c>
      <c r="F52" s="929"/>
      <c r="G52" s="904"/>
      <c r="I52" s="931"/>
      <c r="J52" s="931"/>
      <c r="K52" s="931"/>
      <c r="L52" s="931"/>
      <c r="M52" s="931"/>
      <c r="N52" s="931"/>
      <c r="O52" s="931"/>
    </row>
    <row r="53" spans="1:21" ht="15" customHeight="1" x14ac:dyDescent="0.25">
      <c r="B53" s="891" t="s">
        <v>1355</v>
      </c>
      <c r="C53" s="939" t="s">
        <v>68</v>
      </c>
      <c r="D53" s="940">
        <f>(D42/100*D51+D50/100*D52)</f>
        <v>11.336171562496002</v>
      </c>
      <c r="E53" s="892"/>
      <c r="G53" s="901"/>
      <c r="I53" s="931"/>
      <c r="J53" s="931"/>
      <c r="K53" s="931"/>
      <c r="L53" s="931"/>
      <c r="M53" s="931"/>
      <c r="N53" s="931"/>
      <c r="O53" s="931"/>
    </row>
    <row r="54" spans="1:21" ht="15" customHeight="1" x14ac:dyDescent="0.25">
      <c r="E54" s="914"/>
      <c r="F54" s="905"/>
      <c r="I54" s="931"/>
      <c r="J54" s="931"/>
      <c r="K54" s="931"/>
      <c r="L54" s="931"/>
      <c r="M54" s="931"/>
      <c r="N54" s="931"/>
      <c r="O54" s="931"/>
    </row>
    <row r="55" spans="1:21" ht="15" customHeight="1" x14ac:dyDescent="0.25">
      <c r="C55" s="915"/>
      <c r="D55" s="915"/>
      <c r="F55" s="905"/>
      <c r="I55" s="932"/>
      <c r="J55" s="932"/>
      <c r="K55" s="932"/>
      <c r="L55" s="932"/>
      <c r="M55" s="932"/>
      <c r="N55" s="932"/>
    </row>
    <row r="56" spans="1:21" ht="15" customHeight="1" x14ac:dyDescent="0.25">
      <c r="F56" s="905"/>
      <c r="H56" s="932"/>
      <c r="I56" s="932"/>
      <c r="J56" s="932"/>
      <c r="K56" s="932"/>
      <c r="L56" s="932"/>
      <c r="M56" s="932"/>
      <c r="N56" s="932"/>
    </row>
    <row r="57" spans="1:21" ht="15" customHeight="1" x14ac:dyDescent="0.25">
      <c r="F57" s="905"/>
      <c r="H57" s="932"/>
    </row>
    <row r="58" spans="1:21" ht="15" customHeight="1" x14ac:dyDescent="0.25">
      <c r="F58" s="905"/>
      <c r="H58" s="932"/>
    </row>
    <row r="59" spans="1:21" ht="15" customHeight="1" x14ac:dyDescent="0.25">
      <c r="F59" s="905"/>
      <c r="H59" s="932"/>
    </row>
    <row r="60" spans="1:21" ht="15" customHeight="1" x14ac:dyDescent="0.25">
      <c r="F60" s="905"/>
      <c r="H60" s="932"/>
    </row>
    <row r="61" spans="1:21" ht="15" customHeight="1" x14ac:dyDescent="0.25">
      <c r="F61" s="905"/>
      <c r="H61" s="932"/>
    </row>
    <row r="62" spans="1:21" ht="15" customHeight="1" x14ac:dyDescent="0.25">
      <c r="F62" s="905"/>
      <c r="H62" s="932"/>
    </row>
    <row r="63" spans="1:21" ht="15" customHeight="1" x14ac:dyDescent="0.25">
      <c r="F63" s="905"/>
      <c r="H63" s="932"/>
    </row>
    <row r="64" spans="1:21" ht="15" customHeight="1" x14ac:dyDescent="0.25">
      <c r="F64" s="905"/>
      <c r="H64" s="932"/>
    </row>
    <row r="65" spans="1:17" s="901" customFormat="1" ht="15" customHeight="1" x14ac:dyDescent="0.25">
      <c r="A65" s="900"/>
      <c r="F65" s="905"/>
      <c r="G65" s="900"/>
      <c r="H65" s="932"/>
      <c r="O65" s="900"/>
      <c r="P65" s="900"/>
      <c r="Q65" s="900"/>
    </row>
    <row r="66" spans="1:17" s="901" customFormat="1" ht="15" customHeight="1" x14ac:dyDescent="0.25">
      <c r="A66" s="900"/>
      <c r="B66" s="900"/>
      <c r="C66" s="900"/>
      <c r="D66" s="900"/>
      <c r="E66" s="900"/>
      <c r="F66" s="905"/>
      <c r="G66" s="900"/>
      <c r="H66" s="932"/>
      <c r="O66" s="900"/>
      <c r="P66" s="900"/>
      <c r="Q66" s="900"/>
    </row>
    <row r="70" spans="1:17" ht="15" customHeight="1" x14ac:dyDescent="0.25">
      <c r="G70" s="900" t="s">
        <v>1265</v>
      </c>
    </row>
  </sheetData>
  <sheetProtection algorithmName="SHA-512" hashValue="uMV1Z4tEWGy5s5DD7A4ljb+rghyTBXYWLPVW2SG4urRn7g3dqHMijrnVqa4uxTV1BF8Gn8cX2WMHhhovb0oBEg==" saltValue="3C0vq3M8yRHUpaVF5+S7Vg==" spinCount="100000" sheet="1" objects="1" scenarios="1"/>
  <mergeCells count="23">
    <mergeCell ref="F22:I22"/>
    <mergeCell ref="D10:I10"/>
    <mergeCell ref="D11:I11"/>
    <mergeCell ref="D12:I12"/>
    <mergeCell ref="D13:I13"/>
    <mergeCell ref="F19:I19"/>
    <mergeCell ref="F20:I20"/>
    <mergeCell ref="E41:I41"/>
    <mergeCell ref="E42:I42"/>
    <mergeCell ref="F18:I18"/>
    <mergeCell ref="E32:I32"/>
    <mergeCell ref="E36:I36"/>
    <mergeCell ref="E37:I37"/>
    <mergeCell ref="E38:I38"/>
    <mergeCell ref="E39:I39"/>
    <mergeCell ref="E40:I40"/>
    <mergeCell ref="E26:I26"/>
    <mergeCell ref="E27:I27"/>
    <mergeCell ref="E28:I28"/>
    <mergeCell ref="E29:I29"/>
    <mergeCell ref="E30:I30"/>
    <mergeCell ref="E31:I31"/>
    <mergeCell ref="F21:I21"/>
  </mergeCells>
  <hyperlinks>
    <hyperlink ref="D12" r:id="rId1" display="https://www.inflation.eu/pt/taxas-de-inflacao/estados-unidos/inflacao-historica/ipc-inflacao-estados-unidos-2023.aspx" xr:uid="{AEC5F94F-6436-4A9B-9325-B5C44539745A}"/>
    <hyperlink ref="D11" r:id="rId2" location="!/home" display="http://www.bcb.gov.br/pt-br#!/home" xr:uid="{2424FF74-D01C-4D1F-8B64-1D1BE8477F80}"/>
  </hyperlinks>
  <pageMargins left="0.511811024" right="0.511811024" top="0.78740157499999996" bottom="0.78740157499999996" header="0.31496062000000002" footer="0.31496062000000002"/>
  <pageSetup paperSize="9" scale="70" orientation="portrait" r:id="rId3"/>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N62"/>
  <sheetViews>
    <sheetView view="pageBreakPreview" zoomScale="70" zoomScaleNormal="85" zoomScaleSheetLayoutView="70" workbookViewId="0">
      <selection activeCell="D7" sqref="D7"/>
    </sheetView>
  </sheetViews>
  <sheetFormatPr defaultColWidth="0" defaultRowHeight="15" zeroHeight="1" x14ac:dyDescent="0.25"/>
  <cols>
    <col min="1" max="1" width="4.28515625" style="60" customWidth="1"/>
    <col min="2" max="2" width="17.85546875" style="60" customWidth="1"/>
    <col min="3" max="3" width="29.85546875" style="60" customWidth="1"/>
    <col min="4" max="9" width="12.7109375" style="60" bestFit="1" customWidth="1"/>
    <col min="10" max="12" width="10.28515625" style="60" customWidth="1"/>
    <col min="13" max="13" width="9.42578125" style="60" customWidth="1"/>
    <col min="14" max="14" width="33.42578125" style="60" customWidth="1"/>
    <col min="15" max="16384" width="9.140625" style="60" hidden="1"/>
  </cols>
  <sheetData>
    <row r="1" spans="1:14" x14ac:dyDescent="0.25">
      <c r="B1" s="560" t="s">
        <v>1182</v>
      </c>
    </row>
    <row r="2" spans="1:14" x14ac:dyDescent="0.25"/>
    <row r="3" spans="1:14" x14ac:dyDescent="0.25">
      <c r="A3" s="1057" t="s">
        <v>443</v>
      </c>
      <c r="B3" s="1057"/>
      <c r="C3" s="1057"/>
      <c r="D3" s="1057"/>
      <c r="E3" s="1057"/>
      <c r="F3" s="1057"/>
      <c r="G3" s="1057"/>
      <c r="H3" s="1057"/>
      <c r="I3" s="1057"/>
      <c r="J3" s="1057"/>
      <c r="K3" s="1057"/>
      <c r="L3" s="1057"/>
    </row>
    <row r="4" spans="1:14" x14ac:dyDescent="0.25">
      <c r="A4" s="222"/>
      <c r="F4" s="222"/>
      <c r="G4" s="222"/>
      <c r="H4" s="222"/>
      <c r="I4" s="222"/>
      <c r="J4" s="222"/>
      <c r="K4" s="222"/>
      <c r="L4" s="222"/>
    </row>
    <row r="5" spans="1:14" x14ac:dyDescent="0.25">
      <c r="A5" s="84" t="s">
        <v>506</v>
      </c>
      <c r="B5" s="222"/>
      <c r="C5" s="222"/>
      <c r="F5" s="222"/>
      <c r="G5" s="222"/>
      <c r="H5" s="222"/>
      <c r="I5" s="222"/>
      <c r="J5" s="222"/>
      <c r="K5" s="222"/>
      <c r="L5" s="222"/>
    </row>
    <row r="6" spans="1:14" x14ac:dyDescent="0.25">
      <c r="A6" s="222"/>
      <c r="B6" s="222"/>
      <c r="C6" s="222"/>
      <c r="F6" s="222"/>
      <c r="G6" s="222"/>
      <c r="H6" s="222"/>
      <c r="I6" s="222"/>
      <c r="J6" s="222"/>
      <c r="K6" s="222"/>
      <c r="L6" s="222"/>
      <c r="N6" s="215"/>
    </row>
    <row r="7" spans="1:14" x14ac:dyDescent="0.25">
      <c r="B7" s="85" t="s">
        <v>1418</v>
      </c>
      <c r="C7" s="80"/>
      <c r="D7" s="112">
        <v>19887</v>
      </c>
      <c r="F7" s="222"/>
      <c r="G7" s="222"/>
      <c r="H7" s="222"/>
      <c r="I7" s="222"/>
      <c r="J7" s="222"/>
      <c r="K7" s="222"/>
      <c r="L7" s="222"/>
    </row>
    <row r="8" spans="1:14" x14ac:dyDescent="0.25">
      <c r="B8" s="85" t="s">
        <v>1185</v>
      </c>
      <c r="C8" s="80"/>
      <c r="D8" s="112"/>
      <c r="F8" s="222"/>
      <c r="G8" s="222"/>
      <c r="H8" s="222"/>
      <c r="I8" s="222"/>
      <c r="J8" s="222"/>
      <c r="K8" s="222"/>
      <c r="L8" s="222"/>
    </row>
    <row r="9" spans="1:14" x14ac:dyDescent="0.25">
      <c r="B9" s="85" t="s">
        <v>1068</v>
      </c>
      <c r="C9" s="80"/>
      <c r="D9" s="112"/>
      <c r="F9" s="222"/>
      <c r="G9" s="222"/>
      <c r="H9" s="222"/>
      <c r="I9" s="222"/>
      <c r="J9" s="222"/>
      <c r="K9" s="222"/>
      <c r="L9" s="222"/>
    </row>
    <row r="10" spans="1:14" x14ac:dyDescent="0.25">
      <c r="B10" s="85" t="s">
        <v>347</v>
      </c>
      <c r="C10" s="80"/>
      <c r="D10" s="112"/>
      <c r="F10" s="222"/>
      <c r="G10" s="222"/>
      <c r="H10" s="222"/>
      <c r="I10" s="222"/>
      <c r="J10" s="222"/>
      <c r="K10" s="222"/>
      <c r="L10" s="222"/>
    </row>
    <row r="11" spans="1:14" x14ac:dyDescent="0.25">
      <c r="B11" s="85" t="s">
        <v>1408</v>
      </c>
      <c r="C11" s="80"/>
      <c r="D11" s="112"/>
      <c r="F11" s="222"/>
      <c r="G11" s="222"/>
      <c r="H11" s="222"/>
      <c r="I11" s="222"/>
      <c r="J11" s="222"/>
      <c r="K11" s="222"/>
      <c r="L11" s="222"/>
      <c r="N11" s="216"/>
    </row>
    <row r="12" spans="1:14" x14ac:dyDescent="0.25">
      <c r="D12" s="222"/>
      <c r="E12" s="222"/>
      <c r="F12" s="222"/>
      <c r="G12" s="222"/>
      <c r="H12" s="222"/>
      <c r="I12" s="222"/>
      <c r="J12" s="222"/>
      <c r="K12" s="222"/>
      <c r="L12" s="222"/>
    </row>
    <row r="13" spans="1:14" x14ac:dyDescent="0.25">
      <c r="B13" s="81" t="s">
        <v>441</v>
      </c>
      <c r="C13" s="82"/>
      <c r="D13" s="83">
        <f>D7+D8+D9+D10+D11+D59</f>
        <v>19887</v>
      </c>
      <c r="E13" s="222"/>
      <c r="F13" s="222"/>
      <c r="G13" s="222"/>
      <c r="H13" s="222"/>
      <c r="I13" s="222"/>
      <c r="J13" s="222"/>
      <c r="K13" s="222"/>
      <c r="L13" s="222"/>
    </row>
    <row r="14" spans="1:14" x14ac:dyDescent="0.25">
      <c r="A14" s="222"/>
      <c r="B14" s="222"/>
      <c r="C14" s="222"/>
      <c r="D14" s="222"/>
      <c r="E14" s="222"/>
      <c r="F14" s="222"/>
      <c r="G14" s="222"/>
      <c r="H14" s="222"/>
      <c r="I14" s="222"/>
      <c r="J14" s="222"/>
      <c r="K14" s="222"/>
      <c r="L14" s="222"/>
    </row>
    <row r="15" spans="1:14" x14ac:dyDescent="0.25">
      <c r="A15" s="84" t="s">
        <v>442</v>
      </c>
      <c r="B15" s="222"/>
      <c r="C15" s="222"/>
      <c r="D15" s="222"/>
      <c r="E15" s="222"/>
      <c r="F15" s="222"/>
      <c r="G15" s="222"/>
      <c r="H15" s="222"/>
      <c r="I15" s="222"/>
      <c r="J15" s="222"/>
      <c r="K15" s="222"/>
      <c r="L15" s="222"/>
    </row>
    <row r="16" spans="1:14" x14ac:dyDescent="0.25">
      <c r="A16" s="84"/>
      <c r="B16" s="222"/>
      <c r="C16" s="222"/>
      <c r="D16" s="222"/>
      <c r="E16" s="222"/>
      <c r="F16" s="222"/>
      <c r="G16" s="222"/>
      <c r="H16" s="222"/>
      <c r="I16" s="222"/>
      <c r="J16" s="222"/>
      <c r="K16" s="222"/>
      <c r="L16" s="222"/>
    </row>
    <row r="17" spans="1:13" x14ac:dyDescent="0.25">
      <c r="A17" s="61" t="s">
        <v>447</v>
      </c>
      <c r="B17" s="61"/>
      <c r="C17" s="61"/>
      <c r="D17" s="61"/>
      <c r="E17" s="61"/>
      <c r="F17" s="61"/>
      <c r="G17" s="61"/>
      <c r="H17" s="61"/>
      <c r="I17" s="61"/>
      <c r="J17" s="61"/>
      <c r="K17" s="61"/>
      <c r="L17" s="61"/>
    </row>
    <row r="18" spans="1:13" x14ac:dyDescent="0.25">
      <c r="A18" s="61"/>
      <c r="B18" s="61"/>
      <c r="C18" s="61"/>
      <c r="D18" s="61"/>
      <c r="E18" s="61"/>
      <c r="F18" s="61"/>
      <c r="G18" s="61"/>
      <c r="H18" s="61"/>
      <c r="I18" s="61"/>
      <c r="J18" s="61"/>
      <c r="K18" s="61"/>
      <c r="L18" s="61"/>
    </row>
    <row r="19" spans="1:13" ht="15.75" customHeight="1" x14ac:dyDescent="0.25">
      <c r="B19" s="1058" t="s">
        <v>440</v>
      </c>
      <c r="C19" s="1059"/>
      <c r="D19" s="1059"/>
      <c r="E19" s="1059"/>
      <c r="F19" s="1059"/>
      <c r="G19" s="1059"/>
      <c r="H19" s="1059"/>
      <c r="I19" s="1059"/>
      <c r="J19" s="1059"/>
      <c r="K19" s="1060"/>
    </row>
    <row r="20" spans="1:13" ht="18" customHeight="1" x14ac:dyDescent="0.25">
      <c r="B20" s="79" t="s">
        <v>430</v>
      </c>
      <c r="C20" s="79" t="s">
        <v>431</v>
      </c>
      <c r="D20" s="79" t="s">
        <v>432</v>
      </c>
      <c r="E20" s="79" t="s">
        <v>433</v>
      </c>
      <c r="F20" s="79" t="s">
        <v>434</v>
      </c>
      <c r="G20" s="79" t="s">
        <v>435</v>
      </c>
      <c r="H20" s="79" t="s">
        <v>436</v>
      </c>
      <c r="I20" s="79" t="s">
        <v>437</v>
      </c>
      <c r="J20" s="79" t="s">
        <v>438</v>
      </c>
      <c r="K20" s="79" t="s">
        <v>439</v>
      </c>
    </row>
    <row r="21" spans="1:13" ht="15" customHeight="1" x14ac:dyDescent="0.25">
      <c r="B21" s="1">
        <v>4</v>
      </c>
      <c r="C21" s="569">
        <v>0</v>
      </c>
      <c r="D21" s="569">
        <v>0</v>
      </c>
      <c r="E21" s="569">
        <v>0</v>
      </c>
      <c r="F21" s="569">
        <v>0</v>
      </c>
      <c r="G21" s="1"/>
      <c r="H21" s="1"/>
      <c r="I21" s="1"/>
      <c r="J21" s="1"/>
      <c r="K21" s="1"/>
    </row>
    <row r="22" spans="1:13" x14ac:dyDescent="0.25">
      <c r="B22" s="4"/>
      <c r="C22" s="4"/>
      <c r="D22" s="4"/>
      <c r="E22" s="4"/>
      <c r="F22" s="4"/>
      <c r="G22" s="4"/>
      <c r="H22" s="4"/>
      <c r="I22" s="4"/>
      <c r="J22" s="4"/>
      <c r="K22" s="4"/>
      <c r="L22" s="4"/>
      <c r="M22" s="53"/>
    </row>
    <row r="23" spans="1:13" x14ac:dyDescent="0.25">
      <c r="A23" s="222" t="s">
        <v>444</v>
      </c>
      <c r="B23" s="222"/>
      <c r="C23" s="222"/>
      <c r="D23" s="222"/>
      <c r="E23" s="222"/>
      <c r="F23" s="4"/>
      <c r="G23" s="4"/>
      <c r="H23" s="4"/>
      <c r="I23" s="4"/>
      <c r="J23" s="4"/>
      <c r="K23" s="4"/>
      <c r="L23" s="4"/>
      <c r="M23" s="53"/>
    </row>
    <row r="24" spans="1:13" x14ac:dyDescent="0.25">
      <c r="A24" s="51"/>
      <c r="B24" s="1065" t="s">
        <v>195</v>
      </c>
      <c r="C24" s="1065"/>
      <c r="D24" s="52"/>
      <c r="E24" s="222" t="s">
        <v>445</v>
      </c>
      <c r="F24" s="4"/>
      <c r="G24" s="4"/>
      <c r="H24" s="4"/>
      <c r="I24" s="4"/>
      <c r="J24" s="4"/>
      <c r="K24" s="4"/>
      <c r="L24" s="4"/>
      <c r="M24" s="53"/>
    </row>
    <row r="25" spans="1:13" ht="15" customHeight="1" x14ac:dyDescent="0.25">
      <c r="A25" s="51"/>
      <c r="B25" s="1066" t="s">
        <v>207</v>
      </c>
      <c r="C25" s="1066"/>
      <c r="D25" s="52" t="s">
        <v>366</v>
      </c>
      <c r="E25" s="222" t="s">
        <v>446</v>
      </c>
      <c r="F25" s="4"/>
      <c r="G25" s="4"/>
      <c r="H25" s="4"/>
      <c r="I25" s="4"/>
      <c r="J25" s="4"/>
      <c r="K25" s="4"/>
      <c r="L25" s="4"/>
      <c r="M25" s="53"/>
    </row>
    <row r="26" spans="1:13" x14ac:dyDescent="0.25">
      <c r="B26" s="4"/>
      <c r="C26" s="4"/>
      <c r="D26" s="4"/>
      <c r="E26" s="4"/>
      <c r="F26" s="4"/>
      <c r="G26" s="4"/>
      <c r="H26" s="4"/>
      <c r="I26" s="4"/>
      <c r="J26" s="4"/>
      <c r="K26" s="4"/>
      <c r="L26" s="4"/>
      <c r="M26" s="53"/>
    </row>
    <row r="27" spans="1:13" x14ac:dyDescent="0.25">
      <c r="A27" s="61" t="s">
        <v>461</v>
      </c>
      <c r="B27" s="61"/>
      <c r="C27" s="61"/>
      <c r="D27" s="61"/>
      <c r="E27" s="61"/>
      <c r="F27" s="61"/>
      <c r="G27" s="61"/>
      <c r="H27" s="61"/>
      <c r="I27" s="61"/>
      <c r="J27" s="61"/>
      <c r="K27" s="61"/>
      <c r="L27" s="61"/>
      <c r="M27" s="53"/>
    </row>
    <row r="28" spans="1:13" x14ac:dyDescent="0.25">
      <c r="A28" s="61"/>
      <c r="B28" s="61"/>
      <c r="C28" s="61"/>
      <c r="D28" s="61"/>
      <c r="E28" s="61"/>
      <c r="F28" s="61"/>
      <c r="G28" s="61"/>
      <c r="H28" s="61"/>
      <c r="I28" s="61"/>
      <c r="J28" s="61"/>
      <c r="K28" s="61"/>
      <c r="L28" s="61"/>
      <c r="M28" s="53"/>
    </row>
    <row r="29" spans="1:13" x14ac:dyDescent="0.25">
      <c r="B29" s="4"/>
      <c r="C29" s="1061" t="s">
        <v>460</v>
      </c>
      <c r="D29" s="1061"/>
      <c r="E29" s="1061"/>
      <c r="F29" s="1061"/>
      <c r="G29" s="1061"/>
      <c r="H29" s="1061"/>
      <c r="I29" s="1061"/>
      <c r="J29" s="1061"/>
      <c r="K29" s="1061"/>
      <c r="L29" s="1061"/>
    </row>
    <row r="30" spans="1:13" ht="18" customHeight="1" x14ac:dyDescent="0.25">
      <c r="B30" s="4"/>
      <c r="C30" s="79" t="s">
        <v>430</v>
      </c>
      <c r="D30" s="79" t="s">
        <v>431</v>
      </c>
      <c r="E30" s="79" t="s">
        <v>432</v>
      </c>
      <c r="F30" s="79" t="s">
        <v>433</v>
      </c>
      <c r="G30" s="79" t="s">
        <v>434</v>
      </c>
      <c r="H30" s="79" t="s">
        <v>435</v>
      </c>
      <c r="I30" s="79" t="s">
        <v>436</v>
      </c>
      <c r="J30" s="79" t="s">
        <v>437</v>
      </c>
      <c r="K30" s="79" t="s">
        <v>438</v>
      </c>
      <c r="L30" s="79" t="s">
        <v>439</v>
      </c>
    </row>
    <row r="31" spans="1:13" x14ac:dyDescent="0.25">
      <c r="A31" s="1062" t="s">
        <v>0</v>
      </c>
      <c r="B31" s="79" t="s">
        <v>448</v>
      </c>
      <c r="C31" s="119"/>
      <c r="D31" s="119"/>
      <c r="E31" s="119"/>
      <c r="F31" s="119"/>
      <c r="G31" s="119"/>
      <c r="H31" s="119"/>
      <c r="I31" s="119"/>
      <c r="J31" s="119"/>
      <c r="K31" s="119"/>
      <c r="L31" s="119"/>
    </row>
    <row r="32" spans="1:13" x14ac:dyDescent="0.25">
      <c r="A32" s="1063"/>
      <c r="B32" s="79" t="s">
        <v>449</v>
      </c>
      <c r="C32" s="119"/>
      <c r="D32" s="119"/>
      <c r="E32" s="119"/>
      <c r="F32" s="119"/>
      <c r="G32" s="119"/>
      <c r="H32" s="119"/>
      <c r="I32" s="119"/>
      <c r="J32" s="119"/>
      <c r="K32" s="119"/>
      <c r="L32" s="119"/>
    </row>
    <row r="33" spans="1:13" x14ac:dyDescent="0.25">
      <c r="A33" s="1063"/>
      <c r="B33" s="79" t="s">
        <v>450</v>
      </c>
      <c r="C33" s="119"/>
      <c r="D33" s="119"/>
      <c r="E33" s="119"/>
      <c r="F33" s="119"/>
      <c r="G33" s="119"/>
      <c r="H33" s="119"/>
      <c r="I33" s="119"/>
      <c r="J33" s="119"/>
      <c r="K33" s="119"/>
      <c r="L33" s="119"/>
    </row>
    <row r="34" spans="1:13" x14ac:dyDescent="0.25">
      <c r="A34" s="1063"/>
      <c r="B34" s="79" t="s">
        <v>451</v>
      </c>
      <c r="C34" s="119"/>
      <c r="D34" s="119"/>
      <c r="E34" s="119"/>
      <c r="F34" s="119"/>
      <c r="G34" s="119"/>
      <c r="H34" s="119"/>
      <c r="I34" s="119"/>
      <c r="J34" s="119"/>
      <c r="K34" s="119"/>
      <c r="L34" s="119"/>
    </row>
    <row r="35" spans="1:13" x14ac:dyDescent="0.25">
      <c r="A35" s="1063"/>
      <c r="B35" s="79" t="s">
        <v>452</v>
      </c>
      <c r="C35" s="119"/>
      <c r="D35" s="119"/>
      <c r="E35" s="119"/>
      <c r="F35" s="119"/>
      <c r="G35" s="119"/>
      <c r="H35" s="119"/>
      <c r="I35" s="119"/>
      <c r="J35" s="119"/>
      <c r="K35" s="119"/>
      <c r="L35" s="119"/>
    </row>
    <row r="36" spans="1:13" x14ac:dyDescent="0.25">
      <c r="A36" s="1063"/>
      <c r="B36" s="79" t="s">
        <v>453</v>
      </c>
      <c r="C36" s="119"/>
      <c r="D36" s="119"/>
      <c r="E36" s="119"/>
      <c r="F36" s="119"/>
      <c r="G36" s="119"/>
      <c r="H36" s="119"/>
      <c r="I36" s="119"/>
      <c r="J36" s="119"/>
      <c r="K36" s="119"/>
      <c r="L36" s="119"/>
    </row>
    <row r="37" spans="1:13" x14ac:dyDescent="0.25">
      <c r="A37" s="1063"/>
      <c r="B37" s="79" t="s">
        <v>454</v>
      </c>
      <c r="C37" s="119"/>
      <c r="D37" s="119"/>
      <c r="E37" s="119"/>
      <c r="F37" s="119"/>
      <c r="G37" s="119"/>
      <c r="H37" s="119"/>
      <c r="I37" s="119"/>
      <c r="J37" s="119"/>
      <c r="K37" s="119"/>
      <c r="L37" s="119"/>
    </row>
    <row r="38" spans="1:13" x14ac:dyDescent="0.25">
      <c r="A38" s="1063"/>
      <c r="B38" s="79" t="s">
        <v>455</v>
      </c>
      <c r="C38" s="119"/>
      <c r="D38" s="119"/>
      <c r="E38" s="119"/>
      <c r="F38" s="119"/>
      <c r="G38" s="119"/>
      <c r="H38" s="119"/>
      <c r="I38" s="119"/>
      <c r="J38" s="119"/>
      <c r="K38" s="119"/>
      <c r="L38" s="119"/>
    </row>
    <row r="39" spans="1:13" ht="15" customHeight="1" x14ac:dyDescent="0.25">
      <c r="A39" s="1063"/>
      <c r="B39" s="79" t="s">
        <v>456</v>
      </c>
      <c r="C39" s="119"/>
      <c r="D39" s="119"/>
      <c r="E39" s="119"/>
      <c r="F39" s="119"/>
      <c r="G39" s="119"/>
      <c r="H39" s="119"/>
      <c r="I39" s="119"/>
      <c r="J39" s="119"/>
      <c r="K39" s="119"/>
      <c r="L39" s="119"/>
    </row>
    <row r="40" spans="1:13" x14ac:dyDescent="0.25">
      <c r="A40" s="1063"/>
      <c r="B40" s="79" t="s">
        <v>457</v>
      </c>
      <c r="C40" s="119"/>
      <c r="D40" s="119"/>
      <c r="E40" s="119"/>
      <c r="F40" s="119"/>
      <c r="G40" s="119"/>
      <c r="H40" s="119"/>
      <c r="I40" s="119"/>
      <c r="J40" s="119"/>
      <c r="K40" s="119"/>
      <c r="L40" s="119"/>
    </row>
    <row r="41" spans="1:13" x14ac:dyDescent="0.25">
      <c r="A41" s="1063"/>
      <c r="B41" s="79" t="s">
        <v>458</v>
      </c>
      <c r="C41" s="119"/>
      <c r="D41" s="119"/>
      <c r="E41" s="119"/>
      <c r="F41" s="119"/>
      <c r="G41" s="119"/>
      <c r="H41" s="119"/>
      <c r="I41" s="119"/>
      <c r="J41" s="119"/>
      <c r="K41" s="119"/>
      <c r="L41" s="119"/>
    </row>
    <row r="42" spans="1:13" x14ac:dyDescent="0.25">
      <c r="A42" s="1064"/>
      <c r="B42" s="79" t="s">
        <v>459</v>
      </c>
      <c r="C42" s="119"/>
      <c r="D42" s="119"/>
      <c r="E42" s="119"/>
      <c r="F42" s="119"/>
      <c r="G42" s="119"/>
      <c r="H42" s="119"/>
      <c r="I42" s="119"/>
      <c r="J42" s="119"/>
      <c r="K42" s="119"/>
      <c r="L42" s="119"/>
    </row>
    <row r="43" spans="1:13" x14ac:dyDescent="0.25">
      <c r="B43" s="4"/>
      <c r="C43" s="4"/>
      <c r="D43" s="4"/>
      <c r="E43" s="4"/>
      <c r="F43" s="4"/>
      <c r="G43" s="4"/>
      <c r="H43" s="4"/>
      <c r="I43" s="4"/>
      <c r="J43" s="4"/>
      <c r="K43" s="4"/>
      <c r="L43" s="4"/>
    </row>
    <row r="44" spans="1:13" x14ac:dyDescent="0.25">
      <c r="A44" s="61" t="s">
        <v>462</v>
      </c>
      <c r="B44" s="61"/>
      <c r="C44" s="61"/>
      <c r="D44" s="61"/>
      <c r="E44" s="61"/>
      <c r="F44" s="61"/>
      <c r="G44" s="61"/>
      <c r="H44" s="61"/>
      <c r="I44" s="61"/>
      <c r="J44" s="61"/>
      <c r="K44" s="61"/>
      <c r="L44" s="61"/>
    </row>
    <row r="45" spans="1:13" x14ac:dyDescent="0.25">
      <c r="A45" s="222"/>
      <c r="B45" s="222"/>
      <c r="C45" s="222"/>
      <c r="D45" s="222"/>
      <c r="E45" s="222"/>
      <c r="F45" s="222"/>
      <c r="G45" s="222"/>
      <c r="H45" s="222"/>
      <c r="I45" s="222"/>
      <c r="J45" s="222"/>
      <c r="K45" s="222"/>
      <c r="L45" s="222"/>
    </row>
    <row r="46" spans="1:13" ht="18" customHeight="1" x14ac:dyDescent="0.25">
      <c r="A46" s="222"/>
      <c r="B46" s="222"/>
      <c r="C46" s="79" t="s">
        <v>430</v>
      </c>
      <c r="D46" s="79" t="s">
        <v>431</v>
      </c>
      <c r="E46" s="79" t="s">
        <v>432</v>
      </c>
      <c r="F46" s="79" t="s">
        <v>433</v>
      </c>
      <c r="G46" s="79" t="s">
        <v>434</v>
      </c>
      <c r="H46" s="79" t="s">
        <v>435</v>
      </c>
      <c r="I46" s="79" t="s">
        <v>436</v>
      </c>
      <c r="J46" s="79" t="s">
        <v>437</v>
      </c>
      <c r="K46" s="79" t="s">
        <v>438</v>
      </c>
      <c r="L46" s="79" t="s">
        <v>439</v>
      </c>
      <c r="M46" s="21"/>
    </row>
    <row r="47" spans="1:13" x14ac:dyDescent="0.25">
      <c r="A47" s="1071" t="s">
        <v>206</v>
      </c>
      <c r="B47" s="1071"/>
      <c r="C47" s="1067">
        <f>D7</f>
        <v>19887</v>
      </c>
      <c r="D47" s="1067">
        <f>D8</f>
        <v>0</v>
      </c>
      <c r="E47" s="1067">
        <f>D9</f>
        <v>0</v>
      </c>
      <c r="F47" s="1067">
        <f>D10</f>
        <v>0</v>
      </c>
      <c r="G47" s="1067">
        <f>D11</f>
        <v>0</v>
      </c>
      <c r="H47" s="1067"/>
      <c r="I47" s="1067"/>
      <c r="J47" s="1067"/>
      <c r="K47" s="1067"/>
      <c r="L47" s="1067"/>
      <c r="M47" s="21"/>
    </row>
    <row r="48" spans="1:13" x14ac:dyDescent="0.25">
      <c r="A48" s="1071"/>
      <c r="B48" s="1071"/>
      <c r="C48" s="1068"/>
      <c r="D48" s="1068"/>
      <c r="E48" s="1068"/>
      <c r="F48" s="1068"/>
      <c r="G48" s="1068"/>
      <c r="H48" s="1068"/>
      <c r="I48" s="1068"/>
      <c r="J48" s="1068"/>
      <c r="K48" s="1068"/>
      <c r="L48" s="1068"/>
      <c r="M48" s="21"/>
    </row>
    <row r="49" spans="1:12" x14ac:dyDescent="0.25"/>
    <row r="50" spans="1:12" x14ac:dyDescent="0.25">
      <c r="A50" s="1072" t="s">
        <v>463</v>
      </c>
      <c r="B50" s="1072"/>
      <c r="C50" s="1072"/>
      <c r="D50" s="1072"/>
      <c r="E50" s="1072"/>
      <c r="F50" s="1072"/>
      <c r="G50" s="1072"/>
      <c r="H50" s="1072"/>
      <c r="I50" s="1072"/>
      <c r="J50" s="1072"/>
      <c r="K50" s="1072"/>
      <c r="L50" s="1072"/>
    </row>
    <row r="51" spans="1:12" x14ac:dyDescent="0.25">
      <c r="A51" s="222"/>
      <c r="B51" s="222"/>
      <c r="C51" s="222"/>
      <c r="D51" s="222"/>
      <c r="E51" s="222"/>
      <c r="F51" s="222"/>
      <c r="G51" s="222"/>
      <c r="H51" s="222"/>
      <c r="I51" s="222"/>
      <c r="J51" s="222"/>
      <c r="K51" s="222"/>
      <c r="L51" s="222"/>
    </row>
    <row r="52" spans="1:12" x14ac:dyDescent="0.25">
      <c r="C52" s="1070" t="s">
        <v>464</v>
      </c>
      <c r="D52" s="1070"/>
      <c r="E52" s="1070"/>
      <c r="F52" s="1070"/>
      <c r="G52" s="1070"/>
      <c r="H52" s="1070"/>
      <c r="I52" s="1070"/>
      <c r="J52" s="1070"/>
      <c r="K52" s="1070"/>
      <c r="L52" s="1070"/>
    </row>
    <row r="53" spans="1:12" ht="18" x14ac:dyDescent="0.25">
      <c r="C53" s="23" t="s">
        <v>31</v>
      </c>
      <c r="D53" s="23" t="s">
        <v>32</v>
      </c>
      <c r="E53" s="23" t="s">
        <v>33</v>
      </c>
      <c r="F53" s="23" t="s">
        <v>34</v>
      </c>
      <c r="G53" s="23" t="s">
        <v>35</v>
      </c>
      <c r="H53" s="23" t="s">
        <v>36</v>
      </c>
      <c r="I53" s="23" t="s">
        <v>37</v>
      </c>
      <c r="J53" s="23" t="s">
        <v>38</v>
      </c>
      <c r="K53" s="23" t="s">
        <v>39</v>
      </c>
      <c r="L53" s="23" t="s">
        <v>40</v>
      </c>
    </row>
    <row r="54" spans="1:12" x14ac:dyDescent="0.25">
      <c r="C54" s="24">
        <f t="shared" ref="C54:L54" si="0">IFERROR(IF($D$24&lt;&gt;0,AVERAGE(C31:C42)*B21,C47*B21),"")</f>
        <v>79548</v>
      </c>
      <c r="D54" s="24">
        <f>IFERROR(IF($D$24&lt;&gt;0,AVERAGE(D31:D42)*C21,D47*C21),"")</f>
        <v>0</v>
      </c>
      <c r="E54" s="24">
        <f t="shared" si="0"/>
        <v>0</v>
      </c>
      <c r="F54" s="24">
        <f t="shared" si="0"/>
        <v>0</v>
      </c>
      <c r="G54" s="24">
        <f t="shared" si="0"/>
        <v>0</v>
      </c>
      <c r="H54" s="24">
        <f t="shared" si="0"/>
        <v>0</v>
      </c>
      <c r="I54" s="24">
        <f t="shared" si="0"/>
        <v>0</v>
      </c>
      <c r="J54" s="24">
        <f t="shared" si="0"/>
        <v>0</v>
      </c>
      <c r="K54" s="24">
        <f t="shared" si="0"/>
        <v>0</v>
      </c>
      <c r="L54" s="24">
        <f t="shared" si="0"/>
        <v>0</v>
      </c>
    </row>
    <row r="55" spans="1:12" x14ac:dyDescent="0.25"/>
    <row r="56" spans="1:12" x14ac:dyDescent="0.25"/>
    <row r="57" spans="1:12" x14ac:dyDescent="0.25">
      <c r="A57" s="1069" t="s">
        <v>824</v>
      </c>
      <c r="B57" s="1069"/>
      <c r="C57" s="1069"/>
      <c r="D57" s="1069"/>
      <c r="E57" s="1069"/>
      <c r="F57" s="1069"/>
      <c r="G57" s="1069"/>
      <c r="H57" s="1069"/>
      <c r="I57" s="1069"/>
      <c r="J57" s="1069"/>
      <c r="K57" s="1069"/>
      <c r="L57" s="1069"/>
    </row>
    <row r="58" spans="1:12" x14ac:dyDescent="0.25">
      <c r="A58" s="1069"/>
      <c r="B58" s="1069"/>
      <c r="C58" s="1069"/>
      <c r="D58" s="1069"/>
      <c r="E58" s="1069"/>
      <c r="F58" s="1069"/>
      <c r="G58" s="1069"/>
      <c r="H58" s="1069"/>
      <c r="I58" s="1069"/>
      <c r="J58" s="1069"/>
      <c r="K58" s="1069"/>
      <c r="L58" s="1069"/>
    </row>
    <row r="59" spans="1:12" x14ac:dyDescent="0.25">
      <c r="B59" s="85" t="s">
        <v>813</v>
      </c>
      <c r="C59" s="80"/>
      <c r="D59" s="113"/>
    </row>
    <row r="60" spans="1:12" x14ac:dyDescent="0.25"/>
    <row r="61" spans="1:12" x14ac:dyDescent="0.25"/>
    <row r="62" spans="1:12" x14ac:dyDescent="0.25"/>
  </sheetData>
  <sheetProtection algorithmName="SHA-512" hashValue="QiP2CF0HJ0OF0dGbD5ny39OKJAkp25fbyYmgpIbtGbhNhA9WqMnryzSZs/GQ4W0KopOVdfzIthEv68Rs02ZXOQ==" saltValue="5KMVJwKd1Mhma2HO6dmExA==" spinCount="100000" sheet="1" objects="1" scenarios="1"/>
  <mergeCells count="20">
    <mergeCell ref="L47:L48"/>
    <mergeCell ref="J47:J48"/>
    <mergeCell ref="F47:F48"/>
    <mergeCell ref="A57:L58"/>
    <mergeCell ref="G47:G48"/>
    <mergeCell ref="H47:H48"/>
    <mergeCell ref="I47:I48"/>
    <mergeCell ref="C52:L52"/>
    <mergeCell ref="A47:B48"/>
    <mergeCell ref="C47:C48"/>
    <mergeCell ref="D47:D48"/>
    <mergeCell ref="E47:E48"/>
    <mergeCell ref="A50:L50"/>
    <mergeCell ref="K47:K48"/>
    <mergeCell ref="A3:L3"/>
    <mergeCell ref="B19:K19"/>
    <mergeCell ref="C29:L29"/>
    <mergeCell ref="A31:A42"/>
    <mergeCell ref="B24:C24"/>
    <mergeCell ref="B25:C25"/>
  </mergeCells>
  <phoneticPr fontId="0" type="noConversion"/>
  <pageMargins left="1.9685039370078741" right="0.51181102362204722" top="0.78740157480314965" bottom="0.78740157480314965" header="0.31496062992125984" footer="0.31496062992125984"/>
  <pageSetup paperSize="9" scale="58" orientation="landscape" r:id="rId1"/>
  <rowBreaks count="1" manualBreakCount="1">
    <brk id="26" max="11"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S120"/>
  <sheetViews>
    <sheetView view="pageBreakPreview" zoomScale="85" zoomScaleNormal="100" zoomScaleSheetLayoutView="85" workbookViewId="0">
      <selection activeCell="I11" sqref="I11"/>
    </sheetView>
  </sheetViews>
  <sheetFormatPr defaultColWidth="0" defaultRowHeight="12.75" x14ac:dyDescent="0.2"/>
  <cols>
    <col min="1" max="1" width="5.85546875" style="5" bestFit="1" customWidth="1"/>
    <col min="2" max="2" width="15.140625" style="5" customWidth="1"/>
    <col min="3" max="3" width="13.28515625" style="5" customWidth="1"/>
    <col min="4" max="4" width="6.28515625" style="5" bestFit="1" customWidth="1"/>
    <col min="5" max="11" width="13.28515625" style="5" customWidth="1"/>
    <col min="12" max="12" width="13.28515625" style="3" customWidth="1"/>
    <col min="13" max="15" width="13.28515625" style="5" customWidth="1"/>
    <col min="16" max="16" width="4.7109375" style="3" customWidth="1"/>
    <col min="17" max="19" width="16.28515625" style="3" customWidth="1"/>
    <col min="20" max="20" width="9.140625" style="3" customWidth="1"/>
    <col min="21" max="16384" width="0" style="3" hidden="1"/>
  </cols>
  <sheetData>
    <row r="1" spans="1:19" ht="15" x14ac:dyDescent="0.25">
      <c r="B1" s="560" t="s">
        <v>1182</v>
      </c>
    </row>
    <row r="3" spans="1:19" ht="15" x14ac:dyDescent="0.25">
      <c r="A3" s="1057" t="s">
        <v>465</v>
      </c>
      <c r="B3" s="1057"/>
      <c r="C3" s="1057"/>
      <c r="D3" s="1057"/>
      <c r="E3" s="1057"/>
      <c r="F3" s="1057"/>
      <c r="G3" s="1057"/>
      <c r="H3" s="1057"/>
      <c r="I3" s="1057"/>
      <c r="J3" s="1057"/>
      <c r="K3" s="1057"/>
      <c r="L3" s="1057"/>
    </row>
    <row r="4" spans="1:19" x14ac:dyDescent="0.2">
      <c r="A4" s="66"/>
      <c r="B4" s="66"/>
      <c r="C4" s="66"/>
      <c r="D4" s="66"/>
      <c r="E4" s="66"/>
      <c r="F4" s="66"/>
      <c r="G4" s="66"/>
      <c r="H4" s="66"/>
      <c r="I4" s="66"/>
      <c r="J4" s="66"/>
      <c r="K4" s="66"/>
      <c r="L4" s="66"/>
      <c r="M4" s="66"/>
      <c r="N4" s="66"/>
    </row>
    <row r="5" spans="1:19" s="9" customFormat="1" x14ac:dyDescent="0.2">
      <c r="A5" s="6" t="s">
        <v>466</v>
      </c>
      <c r="B5" s="1082" t="s">
        <v>26</v>
      </c>
      <c r="C5" s="1083"/>
      <c r="D5" s="22">
        <v>12</v>
      </c>
      <c r="E5" s="7"/>
      <c r="F5" s="8"/>
      <c r="G5" s="8"/>
      <c r="H5" s="8"/>
      <c r="I5" s="8"/>
      <c r="J5" s="8"/>
      <c r="K5" s="8"/>
      <c r="L5" s="8"/>
      <c r="M5" s="8"/>
      <c r="N5" s="8"/>
      <c r="O5" s="7"/>
    </row>
    <row r="6" spans="1:19" x14ac:dyDescent="0.2">
      <c r="A6" s="66"/>
      <c r="B6" s="66"/>
      <c r="C6" s="66"/>
      <c r="D6" s="66"/>
      <c r="E6" s="66"/>
      <c r="F6" s="66"/>
      <c r="G6" s="66"/>
      <c r="H6" s="66"/>
      <c r="I6" s="66"/>
      <c r="J6" s="66"/>
      <c r="K6" s="66"/>
      <c r="L6" s="66"/>
      <c r="M6" s="66"/>
      <c r="N6" s="66"/>
    </row>
    <row r="7" spans="1:19" x14ac:dyDescent="0.2">
      <c r="A7" s="6" t="s">
        <v>467</v>
      </c>
      <c r="B7" s="66" t="s">
        <v>197</v>
      </c>
      <c r="C7" s="66"/>
      <c r="D7" s="66"/>
      <c r="E7" s="66"/>
      <c r="F7" s="66"/>
      <c r="G7" s="66"/>
      <c r="H7" s="66"/>
      <c r="I7" s="66"/>
      <c r="J7" s="66"/>
      <c r="K7" s="66"/>
      <c r="L7" s="66"/>
      <c r="M7" s="66"/>
      <c r="N7" s="66"/>
    </row>
    <row r="8" spans="1:19" s="9" customFormat="1" x14ac:dyDescent="0.2">
      <c r="A8" s="6"/>
      <c r="B8" s="1087" t="s">
        <v>196</v>
      </c>
      <c r="C8" s="1087"/>
      <c r="D8" s="22" t="s">
        <v>366</v>
      </c>
      <c r="E8" s="66" t="s">
        <v>470</v>
      </c>
      <c r="F8" s="8"/>
      <c r="G8" s="8"/>
      <c r="H8" s="8"/>
      <c r="I8" s="8"/>
      <c r="J8" s="8"/>
      <c r="K8" s="8"/>
      <c r="L8" s="8"/>
      <c r="M8" s="8"/>
      <c r="N8" s="8"/>
      <c r="O8" s="7"/>
    </row>
    <row r="9" spans="1:19" s="9" customFormat="1" x14ac:dyDescent="0.2">
      <c r="A9" s="6"/>
      <c r="B9" s="1088" t="s">
        <v>195</v>
      </c>
      <c r="C9" s="1088"/>
      <c r="D9" s="22"/>
      <c r="E9" s="66" t="s">
        <v>471</v>
      </c>
      <c r="F9" s="8"/>
      <c r="G9" s="8"/>
      <c r="H9" s="8"/>
      <c r="I9" s="8"/>
      <c r="J9" s="8"/>
      <c r="K9" s="8"/>
      <c r="L9" s="8"/>
      <c r="M9" s="8"/>
      <c r="N9" s="8"/>
      <c r="O9" s="7"/>
    </row>
    <row r="10" spans="1:19" x14ac:dyDescent="0.2">
      <c r="A10" s="66"/>
      <c r="B10" s="66"/>
      <c r="C10" s="66"/>
      <c r="D10" s="66"/>
      <c r="E10" s="66"/>
      <c r="F10" s="66"/>
      <c r="G10" s="66"/>
      <c r="H10" s="66"/>
      <c r="I10" s="66"/>
      <c r="J10" s="66"/>
      <c r="K10" s="66"/>
      <c r="L10" s="66"/>
      <c r="M10" s="66"/>
      <c r="N10" s="66"/>
    </row>
    <row r="11" spans="1:19" x14ac:dyDescent="0.2">
      <c r="A11" s="6" t="s">
        <v>468</v>
      </c>
      <c r="B11" s="66" t="s">
        <v>198</v>
      </c>
      <c r="C11" s="66"/>
      <c r="D11" s="66"/>
      <c r="E11" s="66"/>
      <c r="F11" s="66"/>
      <c r="G11" s="66"/>
      <c r="H11" s="66"/>
      <c r="I11" s="66"/>
      <c r="J11" s="66"/>
      <c r="K11" s="66"/>
      <c r="L11" s="66"/>
    </row>
    <row r="12" spans="1:19" x14ac:dyDescent="0.2">
      <c r="A12" s="66"/>
      <c r="B12" s="1089" t="s">
        <v>472</v>
      </c>
      <c r="C12" s="1089"/>
      <c r="D12" s="1075">
        <v>51522</v>
      </c>
      <c r="E12" s="1076"/>
      <c r="F12" s="66" t="s">
        <v>24</v>
      </c>
      <c r="G12" s="67"/>
      <c r="H12" s="66"/>
      <c r="I12" s="66"/>
      <c r="J12" s="66"/>
      <c r="K12" s="66"/>
      <c r="L12" s="66"/>
    </row>
    <row r="13" spans="1:19" x14ac:dyDescent="0.2">
      <c r="A13" s="66"/>
      <c r="B13" s="66"/>
      <c r="C13" s="66"/>
      <c r="D13" s="66"/>
      <c r="E13" s="66"/>
      <c r="F13" s="66"/>
      <c r="G13" s="66"/>
      <c r="H13" s="66"/>
      <c r="I13" s="66"/>
      <c r="J13" s="66"/>
      <c r="K13" s="66"/>
      <c r="L13" s="66"/>
    </row>
    <row r="14" spans="1:19" x14ac:dyDescent="0.2">
      <c r="A14" s="6" t="s">
        <v>469</v>
      </c>
      <c r="B14" s="66" t="s">
        <v>473</v>
      </c>
      <c r="C14" s="66"/>
      <c r="D14" s="66"/>
      <c r="E14" s="66"/>
      <c r="F14" s="66"/>
      <c r="G14" s="66"/>
      <c r="H14" s="66"/>
      <c r="I14" s="66"/>
      <c r="J14" s="66"/>
      <c r="K14" s="66"/>
      <c r="L14" s="66"/>
    </row>
    <row r="15" spans="1:19" s="9" customFormat="1" ht="32.25" customHeight="1" x14ac:dyDescent="0.2">
      <c r="A15" s="1074" t="s">
        <v>2</v>
      </c>
      <c r="B15" s="1074" t="s">
        <v>1</v>
      </c>
      <c r="C15" s="1074" t="s">
        <v>474</v>
      </c>
      <c r="D15" s="1074"/>
      <c r="E15" s="1074"/>
      <c r="F15" s="1074"/>
      <c r="G15" s="1074" t="s">
        <v>156</v>
      </c>
      <c r="H15" s="1074"/>
      <c r="I15" s="1074"/>
      <c r="J15" s="1074" t="s">
        <v>157</v>
      </c>
      <c r="K15" s="1074"/>
      <c r="L15" s="1074"/>
      <c r="M15" s="1074" t="s">
        <v>5</v>
      </c>
      <c r="N15" s="1074"/>
      <c r="O15" s="1074"/>
      <c r="Q15" s="1073" t="s">
        <v>25</v>
      </c>
      <c r="R15" s="1073"/>
      <c r="S15" s="1073"/>
    </row>
    <row r="16" spans="1:19" s="9" customFormat="1" x14ac:dyDescent="0.2">
      <c r="A16" s="1074"/>
      <c r="B16" s="1074"/>
      <c r="C16" s="1084" t="s">
        <v>158</v>
      </c>
      <c r="D16" s="1086"/>
      <c r="E16" s="1086"/>
      <c r="F16" s="1085"/>
      <c r="G16" s="1084" t="s">
        <v>159</v>
      </c>
      <c r="H16" s="1086"/>
      <c r="I16" s="1085"/>
      <c r="J16" s="1084" t="s">
        <v>160</v>
      </c>
      <c r="K16" s="1086"/>
      <c r="L16" s="1085"/>
      <c r="M16" s="1084" t="s">
        <v>160</v>
      </c>
      <c r="N16" s="1086"/>
      <c r="O16" s="1085"/>
      <c r="Q16" s="1079" t="s">
        <v>160</v>
      </c>
      <c r="R16" s="1080"/>
      <c r="S16" s="1081"/>
    </row>
    <row r="17" spans="1:19" s="9" customFormat="1" ht="25.5" x14ac:dyDescent="0.2">
      <c r="A17" s="1074"/>
      <c r="B17" s="1074"/>
      <c r="C17" s="1084" t="s">
        <v>3</v>
      </c>
      <c r="D17" s="1085"/>
      <c r="E17" s="224" t="s">
        <v>4</v>
      </c>
      <c r="F17" s="224" t="s">
        <v>27</v>
      </c>
      <c r="G17" s="226" t="s">
        <v>3</v>
      </c>
      <c r="H17" s="224" t="s">
        <v>4</v>
      </c>
      <c r="I17" s="224" t="s">
        <v>27</v>
      </c>
      <c r="J17" s="224" t="s">
        <v>3</v>
      </c>
      <c r="K17" s="224" t="s">
        <v>4</v>
      </c>
      <c r="L17" s="224" t="s">
        <v>27</v>
      </c>
      <c r="M17" s="224" t="s">
        <v>3</v>
      </c>
      <c r="N17" s="224" t="s">
        <v>4</v>
      </c>
      <c r="O17" s="224" t="s">
        <v>27</v>
      </c>
      <c r="Q17" s="223" t="s">
        <v>3</v>
      </c>
      <c r="R17" s="223" t="s">
        <v>4</v>
      </c>
      <c r="S17" s="223" t="s">
        <v>27</v>
      </c>
    </row>
    <row r="18" spans="1:19" x14ac:dyDescent="0.2">
      <c r="A18" s="10">
        <v>1</v>
      </c>
      <c r="B18" s="10"/>
      <c r="C18" s="1077"/>
      <c r="D18" s="1078"/>
      <c r="E18" s="10"/>
      <c r="F18" s="10"/>
      <c r="G18" s="225"/>
      <c r="H18" s="10"/>
      <c r="I18" s="10"/>
      <c r="J18" s="10"/>
      <c r="K18" s="10"/>
      <c r="L18" s="10"/>
      <c r="M18" s="10"/>
      <c r="N18" s="10"/>
      <c r="O18" s="10"/>
      <c r="Q18" s="25">
        <f>((C18*G18*J18)/$D$5)+M18</f>
        <v>0</v>
      </c>
      <c r="R18" s="25">
        <f t="shared" ref="R18:R49" si="0">((E18*H18*K18)/$D$5)+N18</f>
        <v>0</v>
      </c>
      <c r="S18" s="25">
        <f t="shared" ref="S18:S49" si="1">((F18*I18*L18)/$D$5)+O18</f>
        <v>0</v>
      </c>
    </row>
    <row r="19" spans="1:19" x14ac:dyDescent="0.2">
      <c r="A19" s="10">
        <v>2</v>
      </c>
      <c r="B19" s="10"/>
      <c r="C19" s="1077"/>
      <c r="D19" s="1078"/>
      <c r="E19" s="10"/>
      <c r="F19" s="10"/>
      <c r="G19" s="225"/>
      <c r="H19" s="10"/>
      <c r="I19" s="10"/>
      <c r="J19" s="10"/>
      <c r="K19" s="10"/>
      <c r="L19" s="10"/>
      <c r="M19" s="10"/>
      <c r="N19" s="10"/>
      <c r="O19" s="10"/>
      <c r="Q19" s="25">
        <f t="shared" ref="Q19:Q49" si="2">((C19*G19*J19)/$D$5)+M19</f>
        <v>0</v>
      </c>
      <c r="R19" s="25">
        <f t="shared" si="0"/>
        <v>0</v>
      </c>
      <c r="S19" s="25">
        <f t="shared" si="1"/>
        <v>0</v>
      </c>
    </row>
    <row r="20" spans="1:19" x14ac:dyDescent="0.2">
      <c r="A20" s="10">
        <v>3</v>
      </c>
      <c r="B20" s="10"/>
      <c r="C20" s="1077"/>
      <c r="D20" s="1078"/>
      <c r="E20" s="10"/>
      <c r="F20" s="10"/>
      <c r="G20" s="225"/>
      <c r="H20" s="10"/>
      <c r="I20" s="10"/>
      <c r="J20" s="10"/>
      <c r="K20" s="10"/>
      <c r="L20" s="10"/>
      <c r="M20" s="10"/>
      <c r="N20" s="10"/>
      <c r="O20" s="10"/>
      <c r="Q20" s="25">
        <f t="shared" si="2"/>
        <v>0</v>
      </c>
      <c r="R20" s="25">
        <f t="shared" si="0"/>
        <v>0</v>
      </c>
      <c r="S20" s="25">
        <f t="shared" si="1"/>
        <v>0</v>
      </c>
    </row>
    <row r="21" spans="1:19" x14ac:dyDescent="0.2">
      <c r="A21" s="10">
        <v>4</v>
      </c>
      <c r="B21" s="10"/>
      <c r="C21" s="1077"/>
      <c r="D21" s="1078"/>
      <c r="E21" s="10"/>
      <c r="F21" s="10"/>
      <c r="G21" s="225"/>
      <c r="H21" s="10"/>
      <c r="I21" s="10"/>
      <c r="J21" s="10"/>
      <c r="K21" s="10"/>
      <c r="L21" s="10"/>
      <c r="M21" s="10"/>
      <c r="N21" s="10"/>
      <c r="O21" s="10"/>
      <c r="Q21" s="25">
        <f t="shared" si="2"/>
        <v>0</v>
      </c>
      <c r="R21" s="25">
        <f t="shared" si="0"/>
        <v>0</v>
      </c>
      <c r="S21" s="25">
        <f t="shared" si="1"/>
        <v>0</v>
      </c>
    </row>
    <row r="22" spans="1:19" x14ac:dyDescent="0.2">
      <c r="A22" s="10">
        <v>5</v>
      </c>
      <c r="B22" s="10"/>
      <c r="C22" s="1077"/>
      <c r="D22" s="1078"/>
      <c r="E22" s="10"/>
      <c r="F22" s="10"/>
      <c r="G22" s="225"/>
      <c r="H22" s="10"/>
      <c r="I22" s="10"/>
      <c r="J22" s="10"/>
      <c r="K22" s="10"/>
      <c r="L22" s="10"/>
      <c r="M22" s="10"/>
      <c r="N22" s="10"/>
      <c r="O22" s="10"/>
      <c r="Q22" s="25">
        <f t="shared" si="2"/>
        <v>0</v>
      </c>
      <c r="R22" s="25">
        <f t="shared" si="0"/>
        <v>0</v>
      </c>
      <c r="S22" s="25">
        <f t="shared" si="1"/>
        <v>0</v>
      </c>
    </row>
    <row r="23" spans="1:19" x14ac:dyDescent="0.2">
      <c r="A23" s="10">
        <v>6</v>
      </c>
      <c r="B23" s="10"/>
      <c r="C23" s="1077"/>
      <c r="D23" s="1078"/>
      <c r="E23" s="10"/>
      <c r="F23" s="10"/>
      <c r="G23" s="225"/>
      <c r="H23" s="10"/>
      <c r="I23" s="10"/>
      <c r="J23" s="10"/>
      <c r="K23" s="10"/>
      <c r="L23" s="10"/>
      <c r="M23" s="10"/>
      <c r="N23" s="10"/>
      <c r="O23" s="10"/>
      <c r="Q23" s="25">
        <f t="shared" si="2"/>
        <v>0</v>
      </c>
      <c r="R23" s="25">
        <f t="shared" si="0"/>
        <v>0</v>
      </c>
      <c r="S23" s="25">
        <f t="shared" si="1"/>
        <v>0</v>
      </c>
    </row>
    <row r="24" spans="1:19" x14ac:dyDescent="0.2">
      <c r="A24" s="10">
        <v>7</v>
      </c>
      <c r="B24" s="10"/>
      <c r="C24" s="1077"/>
      <c r="D24" s="1078"/>
      <c r="E24" s="10"/>
      <c r="F24" s="10"/>
      <c r="G24" s="225"/>
      <c r="H24" s="10"/>
      <c r="I24" s="10"/>
      <c r="J24" s="10"/>
      <c r="K24" s="10"/>
      <c r="L24" s="10"/>
      <c r="M24" s="10"/>
      <c r="N24" s="10"/>
      <c r="O24" s="10"/>
      <c r="Q24" s="25">
        <f t="shared" si="2"/>
        <v>0</v>
      </c>
      <c r="R24" s="25">
        <f t="shared" si="0"/>
        <v>0</v>
      </c>
      <c r="S24" s="25">
        <f t="shared" si="1"/>
        <v>0</v>
      </c>
    </row>
    <row r="25" spans="1:19" x14ac:dyDescent="0.2">
      <c r="A25" s="10">
        <v>8</v>
      </c>
      <c r="B25" s="10"/>
      <c r="C25" s="1077"/>
      <c r="D25" s="1078"/>
      <c r="E25" s="10"/>
      <c r="F25" s="10"/>
      <c r="G25" s="225"/>
      <c r="H25" s="10"/>
      <c r="I25" s="10"/>
      <c r="J25" s="10"/>
      <c r="K25" s="10"/>
      <c r="L25" s="10"/>
      <c r="M25" s="10"/>
      <c r="N25" s="10"/>
      <c r="O25" s="10"/>
      <c r="Q25" s="25">
        <f t="shared" si="2"/>
        <v>0</v>
      </c>
      <c r="R25" s="25">
        <f t="shared" si="0"/>
        <v>0</v>
      </c>
      <c r="S25" s="25">
        <f t="shared" si="1"/>
        <v>0</v>
      </c>
    </row>
    <row r="26" spans="1:19" x14ac:dyDescent="0.2">
      <c r="A26" s="10">
        <v>9</v>
      </c>
      <c r="B26" s="10"/>
      <c r="C26" s="1077"/>
      <c r="D26" s="1078"/>
      <c r="E26" s="10"/>
      <c r="F26" s="10"/>
      <c r="G26" s="225"/>
      <c r="H26" s="10"/>
      <c r="I26" s="10"/>
      <c r="J26" s="10"/>
      <c r="K26" s="10"/>
      <c r="L26" s="10"/>
      <c r="M26" s="10"/>
      <c r="N26" s="10"/>
      <c r="O26" s="10"/>
      <c r="Q26" s="25">
        <f t="shared" si="2"/>
        <v>0</v>
      </c>
      <c r="R26" s="25">
        <f t="shared" si="0"/>
        <v>0</v>
      </c>
      <c r="S26" s="25">
        <f t="shared" si="1"/>
        <v>0</v>
      </c>
    </row>
    <row r="27" spans="1:19" x14ac:dyDescent="0.2">
      <c r="A27" s="10">
        <v>10</v>
      </c>
      <c r="B27" s="10"/>
      <c r="C27" s="1077"/>
      <c r="D27" s="1078"/>
      <c r="E27" s="10"/>
      <c r="F27" s="10"/>
      <c r="G27" s="225"/>
      <c r="H27" s="10"/>
      <c r="I27" s="10"/>
      <c r="J27" s="10"/>
      <c r="K27" s="10"/>
      <c r="L27" s="10"/>
      <c r="M27" s="10"/>
      <c r="N27" s="10"/>
      <c r="O27" s="10"/>
      <c r="Q27" s="25">
        <f t="shared" si="2"/>
        <v>0</v>
      </c>
      <c r="R27" s="25">
        <f t="shared" si="0"/>
        <v>0</v>
      </c>
      <c r="S27" s="25">
        <f t="shared" si="1"/>
        <v>0</v>
      </c>
    </row>
    <row r="28" spans="1:19" x14ac:dyDescent="0.2">
      <c r="A28" s="10">
        <v>11</v>
      </c>
      <c r="B28" s="10"/>
      <c r="C28" s="1077"/>
      <c r="D28" s="1078"/>
      <c r="E28" s="10"/>
      <c r="F28" s="10"/>
      <c r="G28" s="225"/>
      <c r="H28" s="10"/>
      <c r="I28" s="10"/>
      <c r="J28" s="10"/>
      <c r="K28" s="10"/>
      <c r="L28" s="10"/>
      <c r="M28" s="10"/>
      <c r="N28" s="10"/>
      <c r="O28" s="10"/>
      <c r="Q28" s="25">
        <f>((C28*G28*J28)/$D$5)+M28</f>
        <v>0</v>
      </c>
      <c r="R28" s="25">
        <f t="shared" si="0"/>
        <v>0</v>
      </c>
      <c r="S28" s="25">
        <f t="shared" si="1"/>
        <v>0</v>
      </c>
    </row>
    <row r="29" spans="1:19" x14ac:dyDescent="0.2">
      <c r="A29" s="10">
        <v>12</v>
      </c>
      <c r="B29" s="10"/>
      <c r="C29" s="1077"/>
      <c r="D29" s="1078"/>
      <c r="E29" s="10"/>
      <c r="F29" s="10"/>
      <c r="G29" s="225"/>
      <c r="H29" s="10"/>
      <c r="I29" s="10"/>
      <c r="J29" s="10"/>
      <c r="K29" s="10"/>
      <c r="L29" s="10"/>
      <c r="M29" s="10"/>
      <c r="N29" s="10"/>
      <c r="O29" s="10"/>
      <c r="Q29" s="25">
        <f t="shared" si="2"/>
        <v>0</v>
      </c>
      <c r="R29" s="25">
        <f t="shared" si="0"/>
        <v>0</v>
      </c>
      <c r="S29" s="25">
        <f t="shared" si="1"/>
        <v>0</v>
      </c>
    </row>
    <row r="30" spans="1:19" x14ac:dyDescent="0.2">
      <c r="A30" s="10">
        <v>13</v>
      </c>
      <c r="B30" s="10"/>
      <c r="C30" s="1077"/>
      <c r="D30" s="1078"/>
      <c r="E30" s="10"/>
      <c r="F30" s="10"/>
      <c r="G30" s="225"/>
      <c r="H30" s="10"/>
      <c r="I30" s="10"/>
      <c r="J30" s="10"/>
      <c r="K30" s="10"/>
      <c r="L30" s="10"/>
      <c r="M30" s="10"/>
      <c r="N30" s="10"/>
      <c r="O30" s="10"/>
      <c r="Q30" s="25">
        <f t="shared" si="2"/>
        <v>0</v>
      </c>
      <c r="R30" s="25">
        <f t="shared" si="0"/>
        <v>0</v>
      </c>
      <c r="S30" s="25">
        <f t="shared" si="1"/>
        <v>0</v>
      </c>
    </row>
    <row r="31" spans="1:19" x14ac:dyDescent="0.2">
      <c r="A31" s="10">
        <v>14</v>
      </c>
      <c r="B31" s="10"/>
      <c r="C31" s="1077"/>
      <c r="D31" s="1078"/>
      <c r="E31" s="10"/>
      <c r="F31" s="10"/>
      <c r="G31" s="225"/>
      <c r="H31" s="10"/>
      <c r="I31" s="10"/>
      <c r="J31" s="10"/>
      <c r="K31" s="10"/>
      <c r="L31" s="10"/>
      <c r="M31" s="10"/>
      <c r="N31" s="10"/>
      <c r="O31" s="10"/>
      <c r="Q31" s="25">
        <f t="shared" si="2"/>
        <v>0</v>
      </c>
      <c r="R31" s="25">
        <f t="shared" si="0"/>
        <v>0</v>
      </c>
      <c r="S31" s="25">
        <f t="shared" si="1"/>
        <v>0</v>
      </c>
    </row>
    <row r="32" spans="1:19" x14ac:dyDescent="0.2">
      <c r="A32" s="10">
        <v>15</v>
      </c>
      <c r="B32" s="10"/>
      <c r="C32" s="1077"/>
      <c r="D32" s="1078"/>
      <c r="E32" s="10"/>
      <c r="F32" s="10"/>
      <c r="G32" s="225"/>
      <c r="H32" s="10"/>
      <c r="I32" s="10"/>
      <c r="J32" s="10"/>
      <c r="K32" s="10"/>
      <c r="L32" s="10"/>
      <c r="M32" s="10"/>
      <c r="N32" s="10"/>
      <c r="O32" s="10"/>
      <c r="Q32" s="25">
        <f t="shared" si="2"/>
        <v>0</v>
      </c>
      <c r="R32" s="25">
        <f t="shared" si="0"/>
        <v>0</v>
      </c>
      <c r="S32" s="25">
        <f t="shared" si="1"/>
        <v>0</v>
      </c>
    </row>
    <row r="33" spans="1:19" x14ac:dyDescent="0.2">
      <c r="A33" s="10">
        <v>16</v>
      </c>
      <c r="B33" s="10"/>
      <c r="C33" s="1077"/>
      <c r="D33" s="1078"/>
      <c r="E33" s="10"/>
      <c r="F33" s="10"/>
      <c r="G33" s="225"/>
      <c r="H33" s="10"/>
      <c r="I33" s="10"/>
      <c r="J33" s="10"/>
      <c r="K33" s="10"/>
      <c r="L33" s="10"/>
      <c r="M33" s="10"/>
      <c r="N33" s="10"/>
      <c r="O33" s="10"/>
      <c r="Q33" s="25">
        <f t="shared" si="2"/>
        <v>0</v>
      </c>
      <c r="R33" s="25">
        <f t="shared" si="0"/>
        <v>0</v>
      </c>
      <c r="S33" s="25">
        <f t="shared" si="1"/>
        <v>0</v>
      </c>
    </row>
    <row r="34" spans="1:19" x14ac:dyDescent="0.2">
      <c r="A34" s="10">
        <v>17</v>
      </c>
      <c r="B34" s="10"/>
      <c r="C34" s="1077"/>
      <c r="D34" s="1078"/>
      <c r="E34" s="10"/>
      <c r="F34" s="10"/>
      <c r="G34" s="225"/>
      <c r="H34" s="10"/>
      <c r="I34" s="10"/>
      <c r="J34" s="10"/>
      <c r="K34" s="10"/>
      <c r="L34" s="10"/>
      <c r="M34" s="10"/>
      <c r="N34" s="10"/>
      <c r="O34" s="10"/>
      <c r="Q34" s="25">
        <f t="shared" si="2"/>
        <v>0</v>
      </c>
      <c r="R34" s="25">
        <f t="shared" si="0"/>
        <v>0</v>
      </c>
      <c r="S34" s="25">
        <f t="shared" si="1"/>
        <v>0</v>
      </c>
    </row>
    <row r="35" spans="1:19" x14ac:dyDescent="0.2">
      <c r="A35" s="10">
        <v>18</v>
      </c>
      <c r="B35" s="10"/>
      <c r="C35" s="1077"/>
      <c r="D35" s="1078"/>
      <c r="E35" s="10"/>
      <c r="F35" s="10"/>
      <c r="G35" s="225"/>
      <c r="H35" s="10"/>
      <c r="I35" s="10"/>
      <c r="J35" s="10"/>
      <c r="K35" s="10"/>
      <c r="L35" s="10"/>
      <c r="M35" s="10"/>
      <c r="N35" s="10"/>
      <c r="O35" s="10"/>
      <c r="Q35" s="25">
        <f t="shared" si="2"/>
        <v>0</v>
      </c>
      <c r="R35" s="25">
        <f t="shared" si="0"/>
        <v>0</v>
      </c>
      <c r="S35" s="25">
        <f t="shared" si="1"/>
        <v>0</v>
      </c>
    </row>
    <row r="36" spans="1:19" x14ac:dyDescent="0.2">
      <c r="A36" s="10">
        <v>19</v>
      </c>
      <c r="B36" s="10"/>
      <c r="C36" s="1077"/>
      <c r="D36" s="1078"/>
      <c r="E36" s="10"/>
      <c r="F36" s="10"/>
      <c r="G36" s="225"/>
      <c r="H36" s="10"/>
      <c r="I36" s="10"/>
      <c r="J36" s="10"/>
      <c r="K36" s="10"/>
      <c r="L36" s="10"/>
      <c r="M36" s="10"/>
      <c r="N36" s="10"/>
      <c r="O36" s="10"/>
      <c r="Q36" s="25">
        <f t="shared" si="2"/>
        <v>0</v>
      </c>
      <c r="R36" s="25">
        <f t="shared" si="0"/>
        <v>0</v>
      </c>
      <c r="S36" s="25">
        <f t="shared" si="1"/>
        <v>0</v>
      </c>
    </row>
    <row r="37" spans="1:19" x14ac:dyDescent="0.2">
      <c r="A37" s="10">
        <v>20</v>
      </c>
      <c r="B37" s="10"/>
      <c r="C37" s="1077"/>
      <c r="D37" s="1078"/>
      <c r="E37" s="10"/>
      <c r="F37" s="10"/>
      <c r="G37" s="225"/>
      <c r="H37" s="10"/>
      <c r="I37" s="10"/>
      <c r="J37" s="10"/>
      <c r="K37" s="10"/>
      <c r="L37" s="10"/>
      <c r="M37" s="10"/>
      <c r="N37" s="10"/>
      <c r="O37" s="10"/>
      <c r="Q37" s="25">
        <f t="shared" si="2"/>
        <v>0</v>
      </c>
      <c r="R37" s="25">
        <f t="shared" si="0"/>
        <v>0</v>
      </c>
      <c r="S37" s="25">
        <f t="shared" si="1"/>
        <v>0</v>
      </c>
    </row>
    <row r="38" spans="1:19" x14ac:dyDescent="0.2">
      <c r="A38" s="10">
        <v>21</v>
      </c>
      <c r="B38" s="10"/>
      <c r="C38" s="1077"/>
      <c r="D38" s="1078"/>
      <c r="E38" s="10"/>
      <c r="F38" s="10"/>
      <c r="G38" s="225"/>
      <c r="H38" s="10"/>
      <c r="I38" s="10"/>
      <c r="J38" s="10"/>
      <c r="K38" s="10"/>
      <c r="L38" s="10"/>
      <c r="M38" s="10"/>
      <c r="N38" s="10"/>
      <c r="O38" s="10"/>
      <c r="Q38" s="25">
        <f t="shared" si="2"/>
        <v>0</v>
      </c>
      <c r="R38" s="25">
        <f t="shared" si="0"/>
        <v>0</v>
      </c>
      <c r="S38" s="25">
        <f t="shared" si="1"/>
        <v>0</v>
      </c>
    </row>
    <row r="39" spans="1:19" x14ac:dyDescent="0.2">
      <c r="A39" s="10">
        <v>22</v>
      </c>
      <c r="B39" s="10"/>
      <c r="C39" s="1077"/>
      <c r="D39" s="1078"/>
      <c r="E39" s="10"/>
      <c r="F39" s="10"/>
      <c r="G39" s="225"/>
      <c r="H39" s="10"/>
      <c r="I39" s="10"/>
      <c r="J39" s="10"/>
      <c r="K39" s="10"/>
      <c r="L39" s="10"/>
      <c r="M39" s="10"/>
      <c r="N39" s="10"/>
      <c r="O39" s="10"/>
      <c r="Q39" s="25">
        <f t="shared" si="2"/>
        <v>0</v>
      </c>
      <c r="R39" s="25">
        <f t="shared" si="0"/>
        <v>0</v>
      </c>
      <c r="S39" s="25">
        <f t="shared" si="1"/>
        <v>0</v>
      </c>
    </row>
    <row r="40" spans="1:19" x14ac:dyDescent="0.2">
      <c r="A40" s="10">
        <v>23</v>
      </c>
      <c r="B40" s="10"/>
      <c r="C40" s="1077"/>
      <c r="D40" s="1078"/>
      <c r="E40" s="10"/>
      <c r="F40" s="10"/>
      <c r="G40" s="225"/>
      <c r="H40" s="10"/>
      <c r="I40" s="10"/>
      <c r="J40" s="10"/>
      <c r="K40" s="10"/>
      <c r="L40" s="10"/>
      <c r="M40" s="10"/>
      <c r="N40" s="10"/>
      <c r="O40" s="10"/>
      <c r="Q40" s="25">
        <f t="shared" si="2"/>
        <v>0</v>
      </c>
      <c r="R40" s="25">
        <f t="shared" si="0"/>
        <v>0</v>
      </c>
      <c r="S40" s="25">
        <f t="shared" si="1"/>
        <v>0</v>
      </c>
    </row>
    <row r="41" spans="1:19" x14ac:dyDescent="0.2">
      <c r="A41" s="10">
        <v>24</v>
      </c>
      <c r="B41" s="10"/>
      <c r="C41" s="1077"/>
      <c r="D41" s="1078"/>
      <c r="E41" s="10"/>
      <c r="F41" s="10"/>
      <c r="G41" s="225"/>
      <c r="H41" s="10"/>
      <c r="I41" s="10"/>
      <c r="J41" s="10"/>
      <c r="K41" s="10"/>
      <c r="L41" s="10"/>
      <c r="M41" s="10"/>
      <c r="N41" s="10"/>
      <c r="O41" s="10"/>
      <c r="Q41" s="25">
        <f t="shared" si="2"/>
        <v>0</v>
      </c>
      <c r="R41" s="25">
        <f t="shared" si="0"/>
        <v>0</v>
      </c>
      <c r="S41" s="25">
        <f t="shared" si="1"/>
        <v>0</v>
      </c>
    </row>
    <row r="42" spans="1:19" x14ac:dyDescent="0.2">
      <c r="A42" s="10">
        <v>25</v>
      </c>
      <c r="B42" s="10"/>
      <c r="C42" s="1077"/>
      <c r="D42" s="1078"/>
      <c r="E42" s="10"/>
      <c r="F42" s="10"/>
      <c r="G42" s="225"/>
      <c r="H42" s="10"/>
      <c r="I42" s="10"/>
      <c r="J42" s="10"/>
      <c r="K42" s="10"/>
      <c r="L42" s="10"/>
      <c r="M42" s="10"/>
      <c r="N42" s="10"/>
      <c r="O42" s="10"/>
      <c r="Q42" s="25">
        <f t="shared" si="2"/>
        <v>0</v>
      </c>
      <c r="R42" s="25">
        <f t="shared" si="0"/>
        <v>0</v>
      </c>
      <c r="S42" s="25">
        <f t="shared" si="1"/>
        <v>0</v>
      </c>
    </row>
    <row r="43" spans="1:19" x14ac:dyDescent="0.2">
      <c r="A43" s="10">
        <v>26</v>
      </c>
      <c r="B43" s="10"/>
      <c r="C43" s="1077"/>
      <c r="D43" s="1078"/>
      <c r="E43" s="10"/>
      <c r="F43" s="10"/>
      <c r="G43" s="225"/>
      <c r="H43" s="10"/>
      <c r="I43" s="10"/>
      <c r="J43" s="10"/>
      <c r="K43" s="10"/>
      <c r="L43" s="10"/>
      <c r="M43" s="10"/>
      <c r="N43" s="10"/>
      <c r="O43" s="10"/>
      <c r="Q43" s="25">
        <f t="shared" si="2"/>
        <v>0</v>
      </c>
      <c r="R43" s="25">
        <f t="shared" si="0"/>
        <v>0</v>
      </c>
      <c r="S43" s="25">
        <f t="shared" si="1"/>
        <v>0</v>
      </c>
    </row>
    <row r="44" spans="1:19" x14ac:dyDescent="0.2">
      <c r="A44" s="10">
        <v>27</v>
      </c>
      <c r="B44" s="10"/>
      <c r="C44" s="1077"/>
      <c r="D44" s="1078"/>
      <c r="E44" s="10"/>
      <c r="F44" s="10"/>
      <c r="G44" s="225"/>
      <c r="H44" s="10"/>
      <c r="I44" s="10"/>
      <c r="J44" s="10"/>
      <c r="K44" s="10"/>
      <c r="L44" s="10"/>
      <c r="M44" s="10"/>
      <c r="N44" s="10"/>
      <c r="O44" s="10"/>
      <c r="Q44" s="25">
        <f t="shared" si="2"/>
        <v>0</v>
      </c>
      <c r="R44" s="25">
        <f t="shared" si="0"/>
        <v>0</v>
      </c>
      <c r="S44" s="25">
        <f t="shared" si="1"/>
        <v>0</v>
      </c>
    </row>
    <row r="45" spans="1:19" x14ac:dyDescent="0.2">
      <c r="A45" s="10">
        <v>28</v>
      </c>
      <c r="B45" s="10"/>
      <c r="C45" s="1077"/>
      <c r="D45" s="1078"/>
      <c r="E45" s="10"/>
      <c r="F45" s="10"/>
      <c r="G45" s="225"/>
      <c r="H45" s="10"/>
      <c r="I45" s="10"/>
      <c r="J45" s="10"/>
      <c r="K45" s="10"/>
      <c r="L45" s="10"/>
      <c r="M45" s="10"/>
      <c r="N45" s="10"/>
      <c r="O45" s="10"/>
      <c r="Q45" s="25">
        <f t="shared" si="2"/>
        <v>0</v>
      </c>
      <c r="R45" s="25">
        <f t="shared" si="0"/>
        <v>0</v>
      </c>
      <c r="S45" s="25">
        <f t="shared" si="1"/>
        <v>0</v>
      </c>
    </row>
    <row r="46" spans="1:19" x14ac:dyDescent="0.2">
      <c r="A46" s="10">
        <v>29</v>
      </c>
      <c r="B46" s="10"/>
      <c r="C46" s="1077"/>
      <c r="D46" s="1078"/>
      <c r="E46" s="10"/>
      <c r="F46" s="10"/>
      <c r="G46" s="225"/>
      <c r="H46" s="10"/>
      <c r="I46" s="10"/>
      <c r="J46" s="10"/>
      <c r="K46" s="10"/>
      <c r="L46" s="10"/>
      <c r="M46" s="10"/>
      <c r="N46" s="10"/>
      <c r="O46" s="10"/>
      <c r="Q46" s="25">
        <f t="shared" si="2"/>
        <v>0</v>
      </c>
      <c r="R46" s="25">
        <f t="shared" si="0"/>
        <v>0</v>
      </c>
      <c r="S46" s="25">
        <f t="shared" si="1"/>
        <v>0</v>
      </c>
    </row>
    <row r="47" spans="1:19" x14ac:dyDescent="0.2">
      <c r="A47" s="10">
        <v>30</v>
      </c>
      <c r="B47" s="10"/>
      <c r="C47" s="1077"/>
      <c r="D47" s="1078"/>
      <c r="E47" s="10"/>
      <c r="F47" s="10"/>
      <c r="G47" s="225"/>
      <c r="H47" s="10"/>
      <c r="I47" s="10"/>
      <c r="J47" s="10"/>
      <c r="K47" s="10"/>
      <c r="L47" s="10"/>
      <c r="M47" s="10"/>
      <c r="N47" s="10"/>
      <c r="O47" s="10"/>
      <c r="Q47" s="25">
        <f t="shared" si="2"/>
        <v>0</v>
      </c>
      <c r="R47" s="25">
        <f t="shared" si="0"/>
        <v>0</v>
      </c>
      <c r="S47" s="25">
        <f t="shared" si="1"/>
        <v>0</v>
      </c>
    </row>
    <row r="48" spans="1:19" x14ac:dyDescent="0.2">
      <c r="A48" s="10">
        <v>31</v>
      </c>
      <c r="B48" s="10"/>
      <c r="C48" s="1077"/>
      <c r="D48" s="1078"/>
      <c r="E48" s="10"/>
      <c r="F48" s="10"/>
      <c r="G48" s="225"/>
      <c r="H48" s="10"/>
      <c r="I48" s="10"/>
      <c r="J48" s="10"/>
      <c r="K48" s="10"/>
      <c r="L48" s="10"/>
      <c r="M48" s="10"/>
      <c r="N48" s="10"/>
      <c r="O48" s="10"/>
      <c r="Q48" s="25">
        <f t="shared" si="2"/>
        <v>0</v>
      </c>
      <c r="R48" s="25">
        <f t="shared" si="0"/>
        <v>0</v>
      </c>
      <c r="S48" s="25">
        <f t="shared" si="1"/>
        <v>0</v>
      </c>
    </row>
    <row r="49" spans="1:19" x14ac:dyDescent="0.2">
      <c r="A49" s="10">
        <v>32</v>
      </c>
      <c r="B49" s="10"/>
      <c r="C49" s="1077"/>
      <c r="D49" s="1078"/>
      <c r="E49" s="10"/>
      <c r="F49" s="10"/>
      <c r="G49" s="225"/>
      <c r="H49" s="10"/>
      <c r="I49" s="10"/>
      <c r="J49" s="10"/>
      <c r="K49" s="10"/>
      <c r="L49" s="10"/>
      <c r="M49" s="10"/>
      <c r="N49" s="10"/>
      <c r="O49" s="10"/>
      <c r="Q49" s="25">
        <f t="shared" si="2"/>
        <v>0</v>
      </c>
      <c r="R49" s="25">
        <f t="shared" si="0"/>
        <v>0</v>
      </c>
      <c r="S49" s="25">
        <f t="shared" si="1"/>
        <v>0</v>
      </c>
    </row>
    <row r="50" spans="1:19" x14ac:dyDescent="0.2">
      <c r="A50" s="10">
        <v>33</v>
      </c>
      <c r="B50" s="10"/>
      <c r="C50" s="1077"/>
      <c r="D50" s="1078"/>
      <c r="E50" s="10"/>
      <c r="F50" s="10"/>
      <c r="G50" s="225"/>
      <c r="H50" s="10"/>
      <c r="I50" s="10"/>
      <c r="J50" s="10"/>
      <c r="K50" s="10"/>
      <c r="L50" s="10"/>
      <c r="M50" s="10"/>
      <c r="N50" s="10"/>
      <c r="O50" s="10"/>
      <c r="Q50" s="25">
        <f t="shared" ref="Q50:Q81" si="3">((C50*G50*J50)/$D$5)+M50</f>
        <v>0</v>
      </c>
      <c r="R50" s="25">
        <f t="shared" ref="R50:R81" si="4">((E50*H50*K50)/$D$5)+N50</f>
        <v>0</v>
      </c>
      <c r="S50" s="25">
        <f t="shared" ref="S50:S81" si="5">((F50*I50*L50)/$D$5)+O50</f>
        <v>0</v>
      </c>
    </row>
    <row r="51" spans="1:19" x14ac:dyDescent="0.2">
      <c r="A51" s="10">
        <v>34</v>
      </c>
      <c r="B51" s="10"/>
      <c r="C51" s="1077"/>
      <c r="D51" s="1078"/>
      <c r="E51" s="10"/>
      <c r="F51" s="10"/>
      <c r="G51" s="225"/>
      <c r="H51" s="10"/>
      <c r="I51" s="10"/>
      <c r="J51" s="10"/>
      <c r="K51" s="10"/>
      <c r="L51" s="10"/>
      <c r="M51" s="10"/>
      <c r="N51" s="10"/>
      <c r="O51" s="10"/>
      <c r="Q51" s="25">
        <f t="shared" si="3"/>
        <v>0</v>
      </c>
      <c r="R51" s="25">
        <f t="shared" si="4"/>
        <v>0</v>
      </c>
      <c r="S51" s="25">
        <f t="shared" si="5"/>
        <v>0</v>
      </c>
    </row>
    <row r="52" spans="1:19" x14ac:dyDescent="0.2">
      <c r="A52" s="10">
        <v>35</v>
      </c>
      <c r="B52" s="10"/>
      <c r="C52" s="1077"/>
      <c r="D52" s="1078"/>
      <c r="E52" s="10"/>
      <c r="F52" s="10"/>
      <c r="G52" s="225"/>
      <c r="H52" s="10"/>
      <c r="I52" s="10"/>
      <c r="J52" s="10"/>
      <c r="K52" s="10"/>
      <c r="L52" s="10"/>
      <c r="M52" s="10"/>
      <c r="N52" s="10"/>
      <c r="O52" s="10"/>
      <c r="Q52" s="25">
        <f t="shared" si="3"/>
        <v>0</v>
      </c>
      <c r="R52" s="25">
        <f t="shared" si="4"/>
        <v>0</v>
      </c>
      <c r="S52" s="25">
        <f t="shared" si="5"/>
        <v>0</v>
      </c>
    </row>
    <row r="53" spans="1:19" x14ac:dyDescent="0.2">
      <c r="A53" s="10">
        <v>36</v>
      </c>
      <c r="B53" s="10"/>
      <c r="C53" s="1077"/>
      <c r="D53" s="1078"/>
      <c r="E53" s="10"/>
      <c r="F53" s="10"/>
      <c r="G53" s="225"/>
      <c r="H53" s="10"/>
      <c r="I53" s="10"/>
      <c r="J53" s="10"/>
      <c r="K53" s="10"/>
      <c r="L53" s="10"/>
      <c r="M53" s="10"/>
      <c r="N53" s="10"/>
      <c r="O53" s="10"/>
      <c r="Q53" s="25">
        <f t="shared" si="3"/>
        <v>0</v>
      </c>
      <c r="R53" s="25">
        <f t="shared" si="4"/>
        <v>0</v>
      </c>
      <c r="S53" s="25">
        <f t="shared" si="5"/>
        <v>0</v>
      </c>
    </row>
    <row r="54" spans="1:19" x14ac:dyDescent="0.2">
      <c r="A54" s="10">
        <v>37</v>
      </c>
      <c r="B54" s="10"/>
      <c r="C54" s="1077"/>
      <c r="D54" s="1078"/>
      <c r="E54" s="10"/>
      <c r="F54" s="10"/>
      <c r="G54" s="225"/>
      <c r="H54" s="10"/>
      <c r="I54" s="10"/>
      <c r="J54" s="10"/>
      <c r="K54" s="10"/>
      <c r="L54" s="10"/>
      <c r="M54" s="10"/>
      <c r="N54" s="10"/>
      <c r="O54" s="10"/>
      <c r="Q54" s="25">
        <f t="shared" si="3"/>
        <v>0</v>
      </c>
      <c r="R54" s="25">
        <f t="shared" si="4"/>
        <v>0</v>
      </c>
      <c r="S54" s="25">
        <f t="shared" si="5"/>
        <v>0</v>
      </c>
    </row>
    <row r="55" spans="1:19" x14ac:dyDescent="0.2">
      <c r="A55" s="10">
        <v>38</v>
      </c>
      <c r="B55" s="10"/>
      <c r="C55" s="1077"/>
      <c r="D55" s="1078"/>
      <c r="E55" s="10"/>
      <c r="F55" s="10"/>
      <c r="G55" s="225"/>
      <c r="H55" s="10"/>
      <c r="I55" s="10"/>
      <c r="J55" s="10"/>
      <c r="K55" s="10"/>
      <c r="L55" s="10"/>
      <c r="M55" s="10"/>
      <c r="N55" s="10"/>
      <c r="O55" s="10"/>
      <c r="Q55" s="25">
        <f t="shared" si="3"/>
        <v>0</v>
      </c>
      <c r="R55" s="25">
        <f t="shared" si="4"/>
        <v>0</v>
      </c>
      <c r="S55" s="25">
        <f t="shared" si="5"/>
        <v>0</v>
      </c>
    </row>
    <row r="56" spans="1:19" x14ac:dyDescent="0.2">
      <c r="A56" s="10">
        <v>39</v>
      </c>
      <c r="B56" s="10"/>
      <c r="C56" s="1077"/>
      <c r="D56" s="1078"/>
      <c r="E56" s="10"/>
      <c r="F56" s="10"/>
      <c r="G56" s="225"/>
      <c r="H56" s="10"/>
      <c r="I56" s="10"/>
      <c r="J56" s="10"/>
      <c r="K56" s="10"/>
      <c r="L56" s="10"/>
      <c r="M56" s="10"/>
      <c r="N56" s="10"/>
      <c r="O56" s="10"/>
      <c r="Q56" s="25">
        <f t="shared" si="3"/>
        <v>0</v>
      </c>
      <c r="R56" s="25">
        <f t="shared" si="4"/>
        <v>0</v>
      </c>
      <c r="S56" s="25">
        <f t="shared" si="5"/>
        <v>0</v>
      </c>
    </row>
    <row r="57" spans="1:19" x14ac:dyDescent="0.2">
      <c r="A57" s="10">
        <v>40</v>
      </c>
      <c r="B57" s="10"/>
      <c r="C57" s="1077"/>
      <c r="D57" s="1078"/>
      <c r="E57" s="10"/>
      <c r="F57" s="10"/>
      <c r="G57" s="225"/>
      <c r="H57" s="10"/>
      <c r="I57" s="10"/>
      <c r="J57" s="10"/>
      <c r="K57" s="10"/>
      <c r="L57" s="10"/>
      <c r="M57" s="10"/>
      <c r="N57" s="10"/>
      <c r="O57" s="10"/>
      <c r="Q57" s="25">
        <f t="shared" si="3"/>
        <v>0</v>
      </c>
      <c r="R57" s="25">
        <f t="shared" si="4"/>
        <v>0</v>
      </c>
      <c r="S57" s="25">
        <f t="shared" si="5"/>
        <v>0</v>
      </c>
    </row>
    <row r="58" spans="1:19" x14ac:dyDescent="0.2">
      <c r="A58" s="10">
        <v>41</v>
      </c>
      <c r="B58" s="10"/>
      <c r="C58" s="1077"/>
      <c r="D58" s="1078"/>
      <c r="E58" s="10"/>
      <c r="F58" s="10"/>
      <c r="G58" s="225"/>
      <c r="H58" s="10"/>
      <c r="I58" s="10"/>
      <c r="J58" s="10"/>
      <c r="K58" s="10"/>
      <c r="L58" s="10"/>
      <c r="M58" s="10"/>
      <c r="N58" s="10"/>
      <c r="O58" s="10"/>
      <c r="Q58" s="25">
        <f t="shared" si="3"/>
        <v>0</v>
      </c>
      <c r="R58" s="25">
        <f t="shared" si="4"/>
        <v>0</v>
      </c>
      <c r="S58" s="25">
        <f t="shared" si="5"/>
        <v>0</v>
      </c>
    </row>
    <row r="59" spans="1:19" x14ac:dyDescent="0.2">
      <c r="A59" s="10">
        <v>42</v>
      </c>
      <c r="B59" s="10"/>
      <c r="C59" s="1077"/>
      <c r="D59" s="1078"/>
      <c r="E59" s="10"/>
      <c r="F59" s="10"/>
      <c r="G59" s="225"/>
      <c r="H59" s="10"/>
      <c r="I59" s="10"/>
      <c r="J59" s="10"/>
      <c r="K59" s="10"/>
      <c r="L59" s="10"/>
      <c r="M59" s="10"/>
      <c r="N59" s="10"/>
      <c r="O59" s="10"/>
      <c r="Q59" s="25">
        <f t="shared" si="3"/>
        <v>0</v>
      </c>
      <c r="R59" s="25">
        <f t="shared" si="4"/>
        <v>0</v>
      </c>
      <c r="S59" s="25">
        <f t="shared" si="5"/>
        <v>0</v>
      </c>
    </row>
    <row r="60" spans="1:19" x14ac:dyDescent="0.2">
      <c r="A60" s="10">
        <v>43</v>
      </c>
      <c r="B60" s="10"/>
      <c r="C60" s="1077"/>
      <c r="D60" s="1078"/>
      <c r="E60" s="10"/>
      <c r="F60" s="10"/>
      <c r="G60" s="225"/>
      <c r="H60" s="10"/>
      <c r="I60" s="10"/>
      <c r="J60" s="10"/>
      <c r="K60" s="10"/>
      <c r="L60" s="10"/>
      <c r="M60" s="10"/>
      <c r="N60" s="10"/>
      <c r="O60" s="10"/>
      <c r="Q60" s="25">
        <f t="shared" si="3"/>
        <v>0</v>
      </c>
      <c r="R60" s="25">
        <f t="shared" si="4"/>
        <v>0</v>
      </c>
      <c r="S60" s="25">
        <f t="shared" si="5"/>
        <v>0</v>
      </c>
    </row>
    <row r="61" spans="1:19" x14ac:dyDescent="0.2">
      <c r="A61" s="10">
        <v>44</v>
      </c>
      <c r="B61" s="10"/>
      <c r="C61" s="1077"/>
      <c r="D61" s="1078"/>
      <c r="E61" s="10"/>
      <c r="F61" s="10"/>
      <c r="G61" s="225"/>
      <c r="H61" s="10"/>
      <c r="I61" s="10"/>
      <c r="J61" s="10"/>
      <c r="K61" s="10"/>
      <c r="L61" s="10"/>
      <c r="M61" s="10"/>
      <c r="N61" s="10"/>
      <c r="O61" s="10"/>
      <c r="Q61" s="25">
        <f t="shared" si="3"/>
        <v>0</v>
      </c>
      <c r="R61" s="25">
        <f t="shared" si="4"/>
        <v>0</v>
      </c>
      <c r="S61" s="25">
        <f t="shared" si="5"/>
        <v>0</v>
      </c>
    </row>
    <row r="62" spans="1:19" x14ac:dyDescent="0.2">
      <c r="A62" s="10">
        <v>45</v>
      </c>
      <c r="B62" s="10"/>
      <c r="C62" s="1077"/>
      <c r="D62" s="1078"/>
      <c r="E62" s="10"/>
      <c r="F62" s="10"/>
      <c r="G62" s="225"/>
      <c r="H62" s="10"/>
      <c r="I62" s="10"/>
      <c r="J62" s="10"/>
      <c r="K62" s="10"/>
      <c r="L62" s="10"/>
      <c r="M62" s="10"/>
      <c r="N62" s="10"/>
      <c r="O62" s="10"/>
      <c r="Q62" s="25">
        <f t="shared" si="3"/>
        <v>0</v>
      </c>
      <c r="R62" s="25">
        <f t="shared" si="4"/>
        <v>0</v>
      </c>
      <c r="S62" s="25">
        <f t="shared" si="5"/>
        <v>0</v>
      </c>
    </row>
    <row r="63" spans="1:19" x14ac:dyDescent="0.2">
      <c r="A63" s="10">
        <v>46</v>
      </c>
      <c r="B63" s="10"/>
      <c r="C63" s="1077"/>
      <c r="D63" s="1078"/>
      <c r="E63" s="10"/>
      <c r="F63" s="10"/>
      <c r="G63" s="225"/>
      <c r="H63" s="10"/>
      <c r="I63" s="10"/>
      <c r="J63" s="10"/>
      <c r="K63" s="10"/>
      <c r="L63" s="10"/>
      <c r="M63" s="10"/>
      <c r="N63" s="10"/>
      <c r="O63" s="10"/>
      <c r="Q63" s="25">
        <f t="shared" si="3"/>
        <v>0</v>
      </c>
      <c r="R63" s="25">
        <f t="shared" si="4"/>
        <v>0</v>
      </c>
      <c r="S63" s="25">
        <f t="shared" si="5"/>
        <v>0</v>
      </c>
    </row>
    <row r="64" spans="1:19" x14ac:dyDescent="0.2">
      <c r="A64" s="10">
        <v>47</v>
      </c>
      <c r="B64" s="10"/>
      <c r="C64" s="1077"/>
      <c r="D64" s="1078"/>
      <c r="E64" s="10"/>
      <c r="F64" s="10"/>
      <c r="G64" s="225"/>
      <c r="H64" s="10"/>
      <c r="I64" s="10"/>
      <c r="J64" s="10"/>
      <c r="K64" s="10"/>
      <c r="L64" s="10"/>
      <c r="M64" s="10"/>
      <c r="N64" s="10"/>
      <c r="O64" s="10"/>
      <c r="Q64" s="25">
        <f t="shared" si="3"/>
        <v>0</v>
      </c>
      <c r="R64" s="25">
        <f t="shared" si="4"/>
        <v>0</v>
      </c>
      <c r="S64" s="25">
        <f t="shared" si="5"/>
        <v>0</v>
      </c>
    </row>
    <row r="65" spans="1:19" x14ac:dyDescent="0.2">
      <c r="A65" s="10">
        <v>48</v>
      </c>
      <c r="B65" s="10"/>
      <c r="C65" s="1077"/>
      <c r="D65" s="1078"/>
      <c r="E65" s="10"/>
      <c r="F65" s="10"/>
      <c r="G65" s="225"/>
      <c r="H65" s="10"/>
      <c r="I65" s="10"/>
      <c r="J65" s="10"/>
      <c r="K65" s="10"/>
      <c r="L65" s="10"/>
      <c r="M65" s="10"/>
      <c r="N65" s="10"/>
      <c r="O65" s="10"/>
      <c r="Q65" s="25">
        <f t="shared" si="3"/>
        <v>0</v>
      </c>
      <c r="R65" s="25">
        <f t="shared" si="4"/>
        <v>0</v>
      </c>
      <c r="S65" s="25">
        <f t="shared" si="5"/>
        <v>0</v>
      </c>
    </row>
    <row r="66" spans="1:19" x14ac:dyDescent="0.2">
      <c r="A66" s="10">
        <v>49</v>
      </c>
      <c r="B66" s="10"/>
      <c r="C66" s="1077"/>
      <c r="D66" s="1078"/>
      <c r="E66" s="10"/>
      <c r="F66" s="10"/>
      <c r="G66" s="225"/>
      <c r="H66" s="10"/>
      <c r="I66" s="10"/>
      <c r="J66" s="10"/>
      <c r="K66" s="10"/>
      <c r="L66" s="10"/>
      <c r="M66" s="10"/>
      <c r="N66" s="10"/>
      <c r="O66" s="10"/>
      <c r="Q66" s="25">
        <f t="shared" si="3"/>
        <v>0</v>
      </c>
      <c r="R66" s="25">
        <f t="shared" si="4"/>
        <v>0</v>
      </c>
      <c r="S66" s="25">
        <f t="shared" si="5"/>
        <v>0</v>
      </c>
    </row>
    <row r="67" spans="1:19" x14ac:dyDescent="0.2">
      <c r="A67" s="10">
        <v>50</v>
      </c>
      <c r="B67" s="10"/>
      <c r="C67" s="1077"/>
      <c r="D67" s="1078"/>
      <c r="E67" s="10"/>
      <c r="F67" s="10"/>
      <c r="G67" s="225"/>
      <c r="H67" s="10"/>
      <c r="I67" s="10"/>
      <c r="J67" s="10"/>
      <c r="K67" s="10"/>
      <c r="L67" s="10"/>
      <c r="M67" s="10"/>
      <c r="N67" s="10"/>
      <c r="O67" s="10"/>
      <c r="Q67" s="25">
        <f t="shared" si="3"/>
        <v>0</v>
      </c>
      <c r="R67" s="25">
        <f t="shared" si="4"/>
        <v>0</v>
      </c>
      <c r="S67" s="25">
        <f t="shared" si="5"/>
        <v>0</v>
      </c>
    </row>
    <row r="68" spans="1:19" x14ac:dyDescent="0.2">
      <c r="A68" s="10">
        <v>51</v>
      </c>
      <c r="B68" s="10"/>
      <c r="C68" s="1077"/>
      <c r="D68" s="1078"/>
      <c r="E68" s="10"/>
      <c r="F68" s="10"/>
      <c r="G68" s="225"/>
      <c r="H68" s="10"/>
      <c r="I68" s="10"/>
      <c r="J68" s="10"/>
      <c r="K68" s="10"/>
      <c r="L68" s="10"/>
      <c r="M68" s="10"/>
      <c r="N68" s="10"/>
      <c r="O68" s="10"/>
      <c r="Q68" s="25">
        <f t="shared" si="3"/>
        <v>0</v>
      </c>
      <c r="R68" s="25">
        <f t="shared" si="4"/>
        <v>0</v>
      </c>
      <c r="S68" s="25">
        <f t="shared" si="5"/>
        <v>0</v>
      </c>
    </row>
    <row r="69" spans="1:19" x14ac:dyDescent="0.2">
      <c r="A69" s="10">
        <v>52</v>
      </c>
      <c r="B69" s="10"/>
      <c r="C69" s="1077"/>
      <c r="D69" s="1078"/>
      <c r="E69" s="10"/>
      <c r="F69" s="10"/>
      <c r="G69" s="225"/>
      <c r="H69" s="10"/>
      <c r="I69" s="10"/>
      <c r="J69" s="10"/>
      <c r="K69" s="10"/>
      <c r="L69" s="10"/>
      <c r="M69" s="10"/>
      <c r="N69" s="10"/>
      <c r="O69" s="10"/>
      <c r="Q69" s="25">
        <f t="shared" si="3"/>
        <v>0</v>
      </c>
      <c r="R69" s="25">
        <f t="shared" si="4"/>
        <v>0</v>
      </c>
      <c r="S69" s="25">
        <f t="shared" si="5"/>
        <v>0</v>
      </c>
    </row>
    <row r="70" spans="1:19" x14ac:dyDescent="0.2">
      <c r="A70" s="10">
        <v>53</v>
      </c>
      <c r="B70" s="10"/>
      <c r="C70" s="1077"/>
      <c r="D70" s="1078"/>
      <c r="E70" s="10"/>
      <c r="F70" s="10"/>
      <c r="G70" s="225"/>
      <c r="H70" s="10"/>
      <c r="I70" s="10"/>
      <c r="J70" s="10"/>
      <c r="K70" s="10"/>
      <c r="L70" s="10"/>
      <c r="M70" s="10"/>
      <c r="N70" s="10"/>
      <c r="O70" s="10"/>
      <c r="Q70" s="25">
        <f t="shared" si="3"/>
        <v>0</v>
      </c>
      <c r="R70" s="25">
        <f t="shared" si="4"/>
        <v>0</v>
      </c>
      <c r="S70" s="25">
        <f t="shared" si="5"/>
        <v>0</v>
      </c>
    </row>
    <row r="71" spans="1:19" x14ac:dyDescent="0.2">
      <c r="A71" s="10">
        <v>54</v>
      </c>
      <c r="B71" s="10"/>
      <c r="C71" s="1077"/>
      <c r="D71" s="1078"/>
      <c r="E71" s="10"/>
      <c r="F71" s="10"/>
      <c r="G71" s="225"/>
      <c r="H71" s="10"/>
      <c r="I71" s="10"/>
      <c r="J71" s="10"/>
      <c r="K71" s="10"/>
      <c r="L71" s="10"/>
      <c r="M71" s="10"/>
      <c r="N71" s="10"/>
      <c r="O71" s="10"/>
      <c r="Q71" s="25">
        <f t="shared" si="3"/>
        <v>0</v>
      </c>
      <c r="R71" s="25">
        <f t="shared" si="4"/>
        <v>0</v>
      </c>
      <c r="S71" s="25">
        <f t="shared" si="5"/>
        <v>0</v>
      </c>
    </row>
    <row r="72" spans="1:19" x14ac:dyDescent="0.2">
      <c r="A72" s="10">
        <v>55</v>
      </c>
      <c r="B72" s="10"/>
      <c r="C72" s="1077"/>
      <c r="D72" s="1078"/>
      <c r="E72" s="10"/>
      <c r="F72" s="10"/>
      <c r="G72" s="225"/>
      <c r="H72" s="10"/>
      <c r="I72" s="10"/>
      <c r="J72" s="10"/>
      <c r="K72" s="10"/>
      <c r="L72" s="10"/>
      <c r="M72" s="10"/>
      <c r="N72" s="10"/>
      <c r="O72" s="10"/>
      <c r="Q72" s="25">
        <f t="shared" si="3"/>
        <v>0</v>
      </c>
      <c r="R72" s="25">
        <f t="shared" si="4"/>
        <v>0</v>
      </c>
      <c r="S72" s="25">
        <f t="shared" si="5"/>
        <v>0</v>
      </c>
    </row>
    <row r="73" spans="1:19" x14ac:dyDescent="0.2">
      <c r="A73" s="10">
        <v>56</v>
      </c>
      <c r="B73" s="10"/>
      <c r="C73" s="1077"/>
      <c r="D73" s="1078"/>
      <c r="E73" s="10"/>
      <c r="F73" s="10"/>
      <c r="G73" s="225"/>
      <c r="H73" s="10"/>
      <c r="I73" s="10"/>
      <c r="J73" s="10"/>
      <c r="K73" s="10"/>
      <c r="L73" s="10"/>
      <c r="M73" s="10"/>
      <c r="N73" s="10"/>
      <c r="O73" s="10"/>
      <c r="Q73" s="25">
        <f t="shared" si="3"/>
        <v>0</v>
      </c>
      <c r="R73" s="25">
        <f t="shared" si="4"/>
        <v>0</v>
      </c>
      <c r="S73" s="25">
        <f t="shared" si="5"/>
        <v>0</v>
      </c>
    </row>
    <row r="74" spans="1:19" x14ac:dyDescent="0.2">
      <c r="A74" s="10">
        <v>57</v>
      </c>
      <c r="B74" s="10"/>
      <c r="C74" s="1077"/>
      <c r="D74" s="1078"/>
      <c r="E74" s="10"/>
      <c r="F74" s="10"/>
      <c r="G74" s="225"/>
      <c r="H74" s="10"/>
      <c r="I74" s="10"/>
      <c r="J74" s="10"/>
      <c r="K74" s="10"/>
      <c r="L74" s="10"/>
      <c r="M74" s="10"/>
      <c r="N74" s="10"/>
      <c r="O74" s="10"/>
      <c r="Q74" s="25">
        <f t="shared" si="3"/>
        <v>0</v>
      </c>
      <c r="R74" s="25">
        <f t="shared" si="4"/>
        <v>0</v>
      </c>
      <c r="S74" s="25">
        <f t="shared" si="5"/>
        <v>0</v>
      </c>
    </row>
    <row r="75" spans="1:19" x14ac:dyDescent="0.2">
      <c r="A75" s="10">
        <v>58</v>
      </c>
      <c r="B75" s="10"/>
      <c r="C75" s="1077"/>
      <c r="D75" s="1078"/>
      <c r="E75" s="10"/>
      <c r="F75" s="10"/>
      <c r="G75" s="225"/>
      <c r="H75" s="10"/>
      <c r="I75" s="10"/>
      <c r="J75" s="10"/>
      <c r="K75" s="10"/>
      <c r="L75" s="10"/>
      <c r="M75" s="10"/>
      <c r="N75" s="10"/>
      <c r="O75" s="10"/>
      <c r="Q75" s="25">
        <f t="shared" si="3"/>
        <v>0</v>
      </c>
      <c r="R75" s="25">
        <f t="shared" si="4"/>
        <v>0</v>
      </c>
      <c r="S75" s="25">
        <f t="shared" si="5"/>
        <v>0</v>
      </c>
    </row>
    <row r="76" spans="1:19" x14ac:dyDescent="0.2">
      <c r="A76" s="10">
        <v>59</v>
      </c>
      <c r="B76" s="10"/>
      <c r="C76" s="1077"/>
      <c r="D76" s="1078"/>
      <c r="E76" s="10"/>
      <c r="F76" s="10"/>
      <c r="G76" s="225"/>
      <c r="H76" s="10"/>
      <c r="I76" s="10"/>
      <c r="J76" s="10"/>
      <c r="K76" s="10"/>
      <c r="L76" s="10"/>
      <c r="M76" s="10"/>
      <c r="N76" s="10"/>
      <c r="O76" s="10"/>
      <c r="Q76" s="25">
        <f t="shared" si="3"/>
        <v>0</v>
      </c>
      <c r="R76" s="25">
        <f t="shared" si="4"/>
        <v>0</v>
      </c>
      <c r="S76" s="25">
        <f t="shared" si="5"/>
        <v>0</v>
      </c>
    </row>
    <row r="77" spans="1:19" x14ac:dyDescent="0.2">
      <c r="A77" s="10">
        <v>60</v>
      </c>
      <c r="B77" s="10"/>
      <c r="C77" s="1077"/>
      <c r="D77" s="1078"/>
      <c r="E77" s="10"/>
      <c r="F77" s="10"/>
      <c r="G77" s="225"/>
      <c r="H77" s="10"/>
      <c r="I77" s="10"/>
      <c r="J77" s="10"/>
      <c r="K77" s="10"/>
      <c r="L77" s="10"/>
      <c r="M77" s="10"/>
      <c r="N77" s="10"/>
      <c r="O77" s="10"/>
      <c r="Q77" s="25">
        <f t="shared" si="3"/>
        <v>0</v>
      </c>
      <c r="R77" s="25">
        <f t="shared" si="4"/>
        <v>0</v>
      </c>
      <c r="S77" s="25">
        <f t="shared" si="5"/>
        <v>0</v>
      </c>
    </row>
    <row r="78" spans="1:19" x14ac:dyDescent="0.2">
      <c r="A78" s="10">
        <v>61</v>
      </c>
      <c r="B78" s="10"/>
      <c r="C78" s="1077"/>
      <c r="D78" s="1078"/>
      <c r="E78" s="10"/>
      <c r="F78" s="10"/>
      <c r="G78" s="225"/>
      <c r="H78" s="10"/>
      <c r="I78" s="10"/>
      <c r="J78" s="10"/>
      <c r="K78" s="10"/>
      <c r="L78" s="10"/>
      <c r="M78" s="10"/>
      <c r="N78" s="10"/>
      <c r="O78" s="10"/>
      <c r="Q78" s="25">
        <f t="shared" si="3"/>
        <v>0</v>
      </c>
      <c r="R78" s="25">
        <f t="shared" si="4"/>
        <v>0</v>
      </c>
      <c r="S78" s="25">
        <f t="shared" si="5"/>
        <v>0</v>
      </c>
    </row>
    <row r="79" spans="1:19" x14ac:dyDescent="0.2">
      <c r="A79" s="10">
        <v>62</v>
      </c>
      <c r="B79" s="10"/>
      <c r="C79" s="1077"/>
      <c r="D79" s="1078"/>
      <c r="E79" s="10"/>
      <c r="F79" s="10"/>
      <c r="G79" s="225"/>
      <c r="H79" s="10"/>
      <c r="I79" s="10"/>
      <c r="J79" s="10"/>
      <c r="K79" s="10"/>
      <c r="L79" s="10"/>
      <c r="M79" s="10"/>
      <c r="N79" s="10"/>
      <c r="O79" s="10"/>
      <c r="Q79" s="25">
        <f t="shared" si="3"/>
        <v>0</v>
      </c>
      <c r="R79" s="25">
        <f t="shared" si="4"/>
        <v>0</v>
      </c>
      <c r="S79" s="25">
        <f t="shared" si="5"/>
        <v>0</v>
      </c>
    </row>
    <row r="80" spans="1:19" x14ac:dyDescent="0.2">
      <c r="A80" s="10">
        <v>63</v>
      </c>
      <c r="B80" s="10"/>
      <c r="C80" s="1077"/>
      <c r="D80" s="1078"/>
      <c r="E80" s="10"/>
      <c r="F80" s="10"/>
      <c r="G80" s="225"/>
      <c r="H80" s="10"/>
      <c r="I80" s="10"/>
      <c r="J80" s="10"/>
      <c r="K80" s="10"/>
      <c r="L80" s="10"/>
      <c r="M80" s="10"/>
      <c r="N80" s="10"/>
      <c r="O80" s="10"/>
      <c r="Q80" s="25">
        <f t="shared" si="3"/>
        <v>0</v>
      </c>
      <c r="R80" s="25">
        <f t="shared" si="4"/>
        <v>0</v>
      </c>
      <c r="S80" s="25">
        <f t="shared" si="5"/>
        <v>0</v>
      </c>
    </row>
    <row r="81" spans="1:19" x14ac:dyDescent="0.2">
      <c r="A81" s="10">
        <v>64</v>
      </c>
      <c r="B81" s="10"/>
      <c r="C81" s="1077"/>
      <c r="D81" s="1078"/>
      <c r="E81" s="10"/>
      <c r="F81" s="10"/>
      <c r="G81" s="225"/>
      <c r="H81" s="10"/>
      <c r="I81" s="10"/>
      <c r="J81" s="10"/>
      <c r="K81" s="10"/>
      <c r="L81" s="10"/>
      <c r="M81" s="10"/>
      <c r="N81" s="10"/>
      <c r="O81" s="10"/>
      <c r="Q81" s="25">
        <f t="shared" si="3"/>
        <v>0</v>
      </c>
      <c r="R81" s="25">
        <f t="shared" si="4"/>
        <v>0</v>
      </c>
      <c r="S81" s="25">
        <f t="shared" si="5"/>
        <v>0</v>
      </c>
    </row>
    <row r="82" spans="1:19" x14ac:dyDescent="0.2">
      <c r="A82" s="10">
        <v>65</v>
      </c>
      <c r="B82" s="10"/>
      <c r="C82" s="1077"/>
      <c r="D82" s="1078"/>
      <c r="E82" s="10"/>
      <c r="F82" s="10"/>
      <c r="G82" s="225"/>
      <c r="H82" s="10"/>
      <c r="I82" s="10"/>
      <c r="J82" s="10"/>
      <c r="K82" s="10"/>
      <c r="L82" s="10"/>
      <c r="M82" s="10"/>
      <c r="N82" s="10"/>
      <c r="O82" s="10"/>
      <c r="Q82" s="25">
        <f t="shared" ref="Q82:Q117" si="6">((C82*G82*J82)/$D$5)+M82</f>
        <v>0</v>
      </c>
      <c r="R82" s="25">
        <f t="shared" ref="R82:R117" si="7">((E82*H82*K82)/$D$5)+N82</f>
        <v>0</v>
      </c>
      <c r="S82" s="25">
        <f t="shared" ref="S82:S117" si="8">((F82*I82*L82)/$D$5)+O82</f>
        <v>0</v>
      </c>
    </row>
    <row r="83" spans="1:19" x14ac:dyDescent="0.2">
      <c r="A83" s="10">
        <v>66</v>
      </c>
      <c r="B83" s="10"/>
      <c r="C83" s="1077"/>
      <c r="D83" s="1078"/>
      <c r="E83" s="10"/>
      <c r="F83" s="10"/>
      <c r="G83" s="225"/>
      <c r="H83" s="10"/>
      <c r="I83" s="10"/>
      <c r="J83" s="10"/>
      <c r="K83" s="10"/>
      <c r="L83" s="10"/>
      <c r="M83" s="10"/>
      <c r="N83" s="10"/>
      <c r="O83" s="10"/>
      <c r="Q83" s="25">
        <f t="shared" si="6"/>
        <v>0</v>
      </c>
      <c r="R83" s="25">
        <f t="shared" si="7"/>
        <v>0</v>
      </c>
      <c r="S83" s="25">
        <f t="shared" si="8"/>
        <v>0</v>
      </c>
    </row>
    <row r="84" spans="1:19" x14ac:dyDescent="0.2">
      <c r="A84" s="10">
        <v>67</v>
      </c>
      <c r="B84" s="10"/>
      <c r="C84" s="1077"/>
      <c r="D84" s="1078"/>
      <c r="E84" s="10"/>
      <c r="F84" s="10"/>
      <c r="G84" s="225"/>
      <c r="H84" s="10"/>
      <c r="I84" s="10"/>
      <c r="J84" s="10"/>
      <c r="K84" s="10"/>
      <c r="L84" s="10"/>
      <c r="M84" s="10"/>
      <c r="N84" s="10"/>
      <c r="O84" s="10"/>
      <c r="Q84" s="25">
        <f t="shared" si="6"/>
        <v>0</v>
      </c>
      <c r="R84" s="25">
        <f t="shared" si="7"/>
        <v>0</v>
      </c>
      <c r="S84" s="25">
        <f t="shared" si="8"/>
        <v>0</v>
      </c>
    </row>
    <row r="85" spans="1:19" x14ac:dyDescent="0.2">
      <c r="A85" s="10">
        <v>68</v>
      </c>
      <c r="B85" s="10"/>
      <c r="C85" s="1077"/>
      <c r="D85" s="1078"/>
      <c r="E85" s="10"/>
      <c r="F85" s="10"/>
      <c r="G85" s="225"/>
      <c r="H85" s="10"/>
      <c r="I85" s="10"/>
      <c r="J85" s="10"/>
      <c r="K85" s="10"/>
      <c r="L85" s="10"/>
      <c r="M85" s="10"/>
      <c r="N85" s="10"/>
      <c r="O85" s="10"/>
      <c r="Q85" s="25">
        <f t="shared" si="6"/>
        <v>0</v>
      </c>
      <c r="R85" s="25">
        <f t="shared" si="7"/>
        <v>0</v>
      </c>
      <c r="S85" s="25">
        <f t="shared" si="8"/>
        <v>0</v>
      </c>
    </row>
    <row r="86" spans="1:19" x14ac:dyDescent="0.2">
      <c r="A86" s="10">
        <v>69</v>
      </c>
      <c r="B86" s="10"/>
      <c r="C86" s="1077"/>
      <c r="D86" s="1078"/>
      <c r="E86" s="10"/>
      <c r="F86" s="10"/>
      <c r="G86" s="225"/>
      <c r="H86" s="10"/>
      <c r="I86" s="10"/>
      <c r="J86" s="10"/>
      <c r="K86" s="10"/>
      <c r="L86" s="10"/>
      <c r="M86" s="10"/>
      <c r="N86" s="10"/>
      <c r="O86" s="10"/>
      <c r="Q86" s="25">
        <f t="shared" si="6"/>
        <v>0</v>
      </c>
      <c r="R86" s="25">
        <f t="shared" si="7"/>
        <v>0</v>
      </c>
      <c r="S86" s="25">
        <f t="shared" si="8"/>
        <v>0</v>
      </c>
    </row>
    <row r="87" spans="1:19" x14ac:dyDescent="0.2">
      <c r="A87" s="10">
        <v>70</v>
      </c>
      <c r="B87" s="10"/>
      <c r="C87" s="1077"/>
      <c r="D87" s="1078"/>
      <c r="E87" s="10"/>
      <c r="F87" s="10"/>
      <c r="G87" s="225"/>
      <c r="H87" s="10"/>
      <c r="I87" s="10"/>
      <c r="J87" s="10"/>
      <c r="K87" s="10"/>
      <c r="L87" s="10"/>
      <c r="M87" s="10"/>
      <c r="N87" s="10"/>
      <c r="O87" s="10"/>
      <c r="Q87" s="25">
        <f t="shared" si="6"/>
        <v>0</v>
      </c>
      <c r="R87" s="25">
        <f t="shared" si="7"/>
        <v>0</v>
      </c>
      <c r="S87" s="25">
        <f t="shared" si="8"/>
        <v>0</v>
      </c>
    </row>
    <row r="88" spans="1:19" x14ac:dyDescent="0.2">
      <c r="A88" s="10">
        <v>71</v>
      </c>
      <c r="B88" s="10"/>
      <c r="C88" s="1077"/>
      <c r="D88" s="1078"/>
      <c r="E88" s="10"/>
      <c r="F88" s="10"/>
      <c r="G88" s="225"/>
      <c r="H88" s="10"/>
      <c r="I88" s="10"/>
      <c r="J88" s="10"/>
      <c r="K88" s="10"/>
      <c r="L88" s="10"/>
      <c r="M88" s="10"/>
      <c r="N88" s="10"/>
      <c r="O88" s="10"/>
      <c r="Q88" s="25">
        <f t="shared" si="6"/>
        <v>0</v>
      </c>
      <c r="R88" s="25">
        <f t="shared" si="7"/>
        <v>0</v>
      </c>
      <c r="S88" s="25">
        <f t="shared" si="8"/>
        <v>0</v>
      </c>
    </row>
    <row r="89" spans="1:19" x14ac:dyDescent="0.2">
      <c r="A89" s="10">
        <v>72</v>
      </c>
      <c r="B89" s="10"/>
      <c r="C89" s="1077"/>
      <c r="D89" s="1078"/>
      <c r="E89" s="10"/>
      <c r="F89" s="10"/>
      <c r="G89" s="225"/>
      <c r="H89" s="10"/>
      <c r="I89" s="10"/>
      <c r="J89" s="10"/>
      <c r="K89" s="10"/>
      <c r="L89" s="10"/>
      <c r="M89" s="10"/>
      <c r="N89" s="10"/>
      <c r="O89" s="10"/>
      <c r="Q89" s="25">
        <f t="shared" si="6"/>
        <v>0</v>
      </c>
      <c r="R89" s="25">
        <f t="shared" si="7"/>
        <v>0</v>
      </c>
      <c r="S89" s="25">
        <f t="shared" si="8"/>
        <v>0</v>
      </c>
    </row>
    <row r="90" spans="1:19" x14ac:dyDescent="0.2">
      <c r="A90" s="10">
        <v>73</v>
      </c>
      <c r="B90" s="10"/>
      <c r="C90" s="1077"/>
      <c r="D90" s="1078"/>
      <c r="E90" s="10"/>
      <c r="F90" s="10"/>
      <c r="G90" s="225"/>
      <c r="H90" s="10"/>
      <c r="I90" s="10"/>
      <c r="J90" s="10"/>
      <c r="K90" s="10"/>
      <c r="L90" s="10"/>
      <c r="M90" s="10"/>
      <c r="N90" s="10"/>
      <c r="O90" s="10"/>
      <c r="Q90" s="25">
        <f t="shared" si="6"/>
        <v>0</v>
      </c>
      <c r="R90" s="25">
        <f t="shared" si="7"/>
        <v>0</v>
      </c>
      <c r="S90" s="25">
        <f t="shared" si="8"/>
        <v>0</v>
      </c>
    </row>
    <row r="91" spans="1:19" x14ac:dyDescent="0.2">
      <c r="A91" s="10">
        <v>74</v>
      </c>
      <c r="B91" s="10"/>
      <c r="C91" s="1077"/>
      <c r="D91" s="1078"/>
      <c r="E91" s="10"/>
      <c r="F91" s="10"/>
      <c r="G91" s="225"/>
      <c r="H91" s="10"/>
      <c r="I91" s="10"/>
      <c r="J91" s="10"/>
      <c r="K91" s="10"/>
      <c r="L91" s="10"/>
      <c r="M91" s="10"/>
      <c r="N91" s="10"/>
      <c r="O91" s="10"/>
      <c r="Q91" s="25">
        <f t="shared" si="6"/>
        <v>0</v>
      </c>
      <c r="R91" s="25">
        <f t="shared" si="7"/>
        <v>0</v>
      </c>
      <c r="S91" s="25">
        <f t="shared" si="8"/>
        <v>0</v>
      </c>
    </row>
    <row r="92" spans="1:19" x14ac:dyDescent="0.2">
      <c r="A92" s="10">
        <v>75</v>
      </c>
      <c r="B92" s="10"/>
      <c r="C92" s="1077"/>
      <c r="D92" s="1078"/>
      <c r="E92" s="10"/>
      <c r="F92" s="10"/>
      <c r="G92" s="225"/>
      <c r="H92" s="10"/>
      <c r="I92" s="10"/>
      <c r="J92" s="10"/>
      <c r="K92" s="10"/>
      <c r="L92" s="10"/>
      <c r="M92" s="10"/>
      <c r="N92" s="10"/>
      <c r="O92" s="10"/>
      <c r="Q92" s="25">
        <f t="shared" si="6"/>
        <v>0</v>
      </c>
      <c r="R92" s="25">
        <f t="shared" si="7"/>
        <v>0</v>
      </c>
      <c r="S92" s="25">
        <f t="shared" si="8"/>
        <v>0</v>
      </c>
    </row>
    <row r="93" spans="1:19" x14ac:dyDescent="0.2">
      <c r="A93" s="10">
        <v>76</v>
      </c>
      <c r="B93" s="10"/>
      <c r="C93" s="1077"/>
      <c r="D93" s="1078"/>
      <c r="E93" s="10"/>
      <c r="F93" s="10"/>
      <c r="G93" s="225"/>
      <c r="H93" s="10"/>
      <c r="I93" s="10"/>
      <c r="J93" s="10"/>
      <c r="K93" s="10"/>
      <c r="L93" s="10"/>
      <c r="M93" s="10"/>
      <c r="N93" s="10"/>
      <c r="O93" s="10"/>
      <c r="Q93" s="25">
        <f t="shared" si="6"/>
        <v>0</v>
      </c>
      <c r="R93" s="25">
        <f t="shared" si="7"/>
        <v>0</v>
      </c>
      <c r="S93" s="25">
        <f t="shared" si="8"/>
        <v>0</v>
      </c>
    </row>
    <row r="94" spans="1:19" x14ac:dyDescent="0.2">
      <c r="A94" s="10">
        <v>77</v>
      </c>
      <c r="B94" s="10"/>
      <c r="C94" s="1077"/>
      <c r="D94" s="1078"/>
      <c r="E94" s="10"/>
      <c r="F94" s="10"/>
      <c r="G94" s="225"/>
      <c r="H94" s="10"/>
      <c r="I94" s="10"/>
      <c r="J94" s="10"/>
      <c r="K94" s="10"/>
      <c r="L94" s="10"/>
      <c r="M94" s="10"/>
      <c r="N94" s="10"/>
      <c r="O94" s="10"/>
      <c r="Q94" s="25">
        <f t="shared" si="6"/>
        <v>0</v>
      </c>
      <c r="R94" s="25">
        <f t="shared" si="7"/>
        <v>0</v>
      </c>
      <c r="S94" s="25">
        <f t="shared" si="8"/>
        <v>0</v>
      </c>
    </row>
    <row r="95" spans="1:19" x14ac:dyDescent="0.2">
      <c r="A95" s="10">
        <v>78</v>
      </c>
      <c r="B95" s="10"/>
      <c r="C95" s="1077"/>
      <c r="D95" s="1078"/>
      <c r="E95" s="10"/>
      <c r="F95" s="10"/>
      <c r="G95" s="225"/>
      <c r="H95" s="10"/>
      <c r="I95" s="10"/>
      <c r="J95" s="10"/>
      <c r="K95" s="10"/>
      <c r="L95" s="10"/>
      <c r="M95" s="10"/>
      <c r="N95" s="10"/>
      <c r="O95" s="10"/>
      <c r="Q95" s="25">
        <f t="shared" si="6"/>
        <v>0</v>
      </c>
      <c r="R95" s="25">
        <f t="shared" si="7"/>
        <v>0</v>
      </c>
      <c r="S95" s="25">
        <f t="shared" si="8"/>
        <v>0</v>
      </c>
    </row>
    <row r="96" spans="1:19" x14ac:dyDescent="0.2">
      <c r="A96" s="10">
        <v>79</v>
      </c>
      <c r="B96" s="10"/>
      <c r="C96" s="1077"/>
      <c r="D96" s="1078"/>
      <c r="E96" s="10"/>
      <c r="F96" s="10"/>
      <c r="G96" s="225"/>
      <c r="H96" s="10"/>
      <c r="I96" s="10"/>
      <c r="J96" s="10"/>
      <c r="K96" s="10"/>
      <c r="L96" s="10"/>
      <c r="M96" s="10"/>
      <c r="N96" s="10"/>
      <c r="O96" s="10"/>
      <c r="Q96" s="25">
        <f t="shared" si="6"/>
        <v>0</v>
      </c>
      <c r="R96" s="25">
        <f t="shared" si="7"/>
        <v>0</v>
      </c>
      <c r="S96" s="25">
        <f t="shared" si="8"/>
        <v>0</v>
      </c>
    </row>
    <row r="97" spans="1:19" x14ac:dyDescent="0.2">
      <c r="A97" s="10">
        <v>80</v>
      </c>
      <c r="B97" s="10"/>
      <c r="C97" s="1077"/>
      <c r="D97" s="1078"/>
      <c r="E97" s="10"/>
      <c r="F97" s="10"/>
      <c r="G97" s="225"/>
      <c r="H97" s="10"/>
      <c r="I97" s="10"/>
      <c r="J97" s="10"/>
      <c r="K97" s="10"/>
      <c r="L97" s="10"/>
      <c r="M97" s="10"/>
      <c r="N97" s="10"/>
      <c r="O97" s="10"/>
      <c r="Q97" s="25">
        <f t="shared" si="6"/>
        <v>0</v>
      </c>
      <c r="R97" s="25">
        <f t="shared" si="7"/>
        <v>0</v>
      </c>
      <c r="S97" s="25">
        <f t="shared" si="8"/>
        <v>0</v>
      </c>
    </row>
    <row r="98" spans="1:19" x14ac:dyDescent="0.2">
      <c r="A98" s="10">
        <v>81</v>
      </c>
      <c r="B98" s="10"/>
      <c r="C98" s="1077"/>
      <c r="D98" s="1078"/>
      <c r="E98" s="10"/>
      <c r="F98" s="10"/>
      <c r="G98" s="225"/>
      <c r="H98" s="10"/>
      <c r="I98" s="10"/>
      <c r="J98" s="10"/>
      <c r="K98" s="10"/>
      <c r="L98" s="10"/>
      <c r="M98" s="10"/>
      <c r="N98" s="10"/>
      <c r="O98" s="10"/>
      <c r="Q98" s="25">
        <f t="shared" si="6"/>
        <v>0</v>
      </c>
      <c r="R98" s="25">
        <f t="shared" si="7"/>
        <v>0</v>
      </c>
      <c r="S98" s="25">
        <f t="shared" si="8"/>
        <v>0</v>
      </c>
    </row>
    <row r="99" spans="1:19" x14ac:dyDescent="0.2">
      <c r="A99" s="10">
        <v>82</v>
      </c>
      <c r="B99" s="10"/>
      <c r="C99" s="1077"/>
      <c r="D99" s="1078"/>
      <c r="E99" s="10"/>
      <c r="F99" s="10"/>
      <c r="G99" s="225"/>
      <c r="H99" s="10"/>
      <c r="I99" s="10"/>
      <c r="J99" s="10"/>
      <c r="K99" s="10"/>
      <c r="L99" s="10"/>
      <c r="M99" s="10"/>
      <c r="N99" s="10"/>
      <c r="O99" s="10"/>
      <c r="Q99" s="25">
        <f t="shared" si="6"/>
        <v>0</v>
      </c>
      <c r="R99" s="25">
        <f t="shared" si="7"/>
        <v>0</v>
      </c>
      <c r="S99" s="25">
        <f t="shared" si="8"/>
        <v>0</v>
      </c>
    </row>
    <row r="100" spans="1:19" x14ac:dyDescent="0.2">
      <c r="A100" s="10">
        <v>83</v>
      </c>
      <c r="B100" s="10"/>
      <c r="C100" s="1077"/>
      <c r="D100" s="1078"/>
      <c r="E100" s="10"/>
      <c r="F100" s="10"/>
      <c r="G100" s="225"/>
      <c r="H100" s="10"/>
      <c r="I100" s="10"/>
      <c r="J100" s="10"/>
      <c r="K100" s="10"/>
      <c r="L100" s="10"/>
      <c r="M100" s="10"/>
      <c r="N100" s="10"/>
      <c r="O100" s="10"/>
      <c r="Q100" s="25">
        <f t="shared" si="6"/>
        <v>0</v>
      </c>
      <c r="R100" s="25">
        <f t="shared" si="7"/>
        <v>0</v>
      </c>
      <c r="S100" s="25">
        <f t="shared" si="8"/>
        <v>0</v>
      </c>
    </row>
    <row r="101" spans="1:19" x14ac:dyDescent="0.2">
      <c r="A101" s="10">
        <v>84</v>
      </c>
      <c r="B101" s="10"/>
      <c r="C101" s="1077"/>
      <c r="D101" s="1078"/>
      <c r="E101" s="10"/>
      <c r="F101" s="10"/>
      <c r="G101" s="225"/>
      <c r="H101" s="10"/>
      <c r="I101" s="10"/>
      <c r="J101" s="10"/>
      <c r="K101" s="10"/>
      <c r="L101" s="10"/>
      <c r="M101" s="10"/>
      <c r="N101" s="10"/>
      <c r="O101" s="10"/>
      <c r="Q101" s="25">
        <f t="shared" si="6"/>
        <v>0</v>
      </c>
      <c r="R101" s="25">
        <f t="shared" si="7"/>
        <v>0</v>
      </c>
      <c r="S101" s="25">
        <f t="shared" si="8"/>
        <v>0</v>
      </c>
    </row>
    <row r="102" spans="1:19" x14ac:dyDescent="0.2">
      <c r="A102" s="10">
        <v>85</v>
      </c>
      <c r="B102" s="10"/>
      <c r="C102" s="1077"/>
      <c r="D102" s="1078"/>
      <c r="E102" s="10"/>
      <c r="F102" s="10"/>
      <c r="G102" s="225"/>
      <c r="H102" s="10"/>
      <c r="I102" s="10"/>
      <c r="J102" s="10"/>
      <c r="K102" s="10"/>
      <c r="L102" s="10"/>
      <c r="M102" s="10"/>
      <c r="N102" s="10"/>
      <c r="O102" s="10"/>
      <c r="Q102" s="25">
        <f t="shared" si="6"/>
        <v>0</v>
      </c>
      <c r="R102" s="25">
        <f t="shared" si="7"/>
        <v>0</v>
      </c>
      <c r="S102" s="25">
        <f t="shared" si="8"/>
        <v>0</v>
      </c>
    </row>
    <row r="103" spans="1:19" x14ac:dyDescent="0.2">
      <c r="A103" s="10">
        <v>86</v>
      </c>
      <c r="B103" s="10"/>
      <c r="C103" s="1077"/>
      <c r="D103" s="1078"/>
      <c r="E103" s="10"/>
      <c r="F103" s="10"/>
      <c r="G103" s="225"/>
      <c r="H103" s="10"/>
      <c r="I103" s="10"/>
      <c r="J103" s="10"/>
      <c r="K103" s="10"/>
      <c r="L103" s="10"/>
      <c r="M103" s="10"/>
      <c r="N103" s="10"/>
      <c r="O103" s="10"/>
      <c r="Q103" s="25">
        <f t="shared" si="6"/>
        <v>0</v>
      </c>
      <c r="R103" s="25">
        <f t="shared" si="7"/>
        <v>0</v>
      </c>
      <c r="S103" s="25">
        <f t="shared" si="8"/>
        <v>0</v>
      </c>
    </row>
    <row r="104" spans="1:19" x14ac:dyDescent="0.2">
      <c r="A104" s="10">
        <v>87</v>
      </c>
      <c r="B104" s="10"/>
      <c r="C104" s="1077"/>
      <c r="D104" s="1078"/>
      <c r="E104" s="10"/>
      <c r="F104" s="10"/>
      <c r="G104" s="225"/>
      <c r="H104" s="10"/>
      <c r="I104" s="10"/>
      <c r="J104" s="10"/>
      <c r="K104" s="10"/>
      <c r="L104" s="10"/>
      <c r="M104" s="10"/>
      <c r="N104" s="10"/>
      <c r="O104" s="10"/>
      <c r="Q104" s="25">
        <f t="shared" si="6"/>
        <v>0</v>
      </c>
      <c r="R104" s="25">
        <f t="shared" si="7"/>
        <v>0</v>
      </c>
      <c r="S104" s="25">
        <f t="shared" si="8"/>
        <v>0</v>
      </c>
    </row>
    <row r="105" spans="1:19" x14ac:dyDescent="0.2">
      <c r="A105" s="10">
        <v>88</v>
      </c>
      <c r="B105" s="10"/>
      <c r="C105" s="1077"/>
      <c r="D105" s="1078"/>
      <c r="E105" s="10"/>
      <c r="F105" s="10"/>
      <c r="G105" s="225"/>
      <c r="H105" s="10"/>
      <c r="I105" s="10"/>
      <c r="J105" s="10"/>
      <c r="K105" s="10"/>
      <c r="L105" s="10"/>
      <c r="M105" s="10"/>
      <c r="N105" s="10"/>
      <c r="O105" s="10"/>
      <c r="Q105" s="25">
        <f t="shared" si="6"/>
        <v>0</v>
      </c>
      <c r="R105" s="25">
        <f t="shared" si="7"/>
        <v>0</v>
      </c>
      <c r="S105" s="25">
        <f t="shared" si="8"/>
        <v>0</v>
      </c>
    </row>
    <row r="106" spans="1:19" x14ac:dyDescent="0.2">
      <c r="A106" s="10">
        <v>89</v>
      </c>
      <c r="B106" s="10"/>
      <c r="C106" s="1077"/>
      <c r="D106" s="1078"/>
      <c r="E106" s="10"/>
      <c r="F106" s="10"/>
      <c r="G106" s="225"/>
      <c r="H106" s="10"/>
      <c r="I106" s="10"/>
      <c r="J106" s="10"/>
      <c r="K106" s="10"/>
      <c r="L106" s="10"/>
      <c r="M106" s="10"/>
      <c r="N106" s="10"/>
      <c r="O106" s="10"/>
      <c r="Q106" s="25">
        <f t="shared" si="6"/>
        <v>0</v>
      </c>
      <c r="R106" s="25">
        <f t="shared" si="7"/>
        <v>0</v>
      </c>
      <c r="S106" s="25">
        <f t="shared" si="8"/>
        <v>0</v>
      </c>
    </row>
    <row r="107" spans="1:19" x14ac:dyDescent="0.2">
      <c r="A107" s="10">
        <v>90</v>
      </c>
      <c r="B107" s="10"/>
      <c r="C107" s="1077"/>
      <c r="D107" s="1078"/>
      <c r="E107" s="10"/>
      <c r="F107" s="10"/>
      <c r="G107" s="225"/>
      <c r="H107" s="10"/>
      <c r="I107" s="10"/>
      <c r="J107" s="10"/>
      <c r="K107" s="10"/>
      <c r="L107" s="10"/>
      <c r="M107" s="10"/>
      <c r="N107" s="10"/>
      <c r="O107" s="10"/>
      <c r="Q107" s="25">
        <f t="shared" si="6"/>
        <v>0</v>
      </c>
      <c r="R107" s="25">
        <f t="shared" si="7"/>
        <v>0</v>
      </c>
      <c r="S107" s="25">
        <f t="shared" si="8"/>
        <v>0</v>
      </c>
    </row>
    <row r="108" spans="1:19" x14ac:dyDescent="0.2">
      <c r="A108" s="10">
        <v>91</v>
      </c>
      <c r="B108" s="10"/>
      <c r="C108" s="1077"/>
      <c r="D108" s="1078"/>
      <c r="E108" s="10"/>
      <c r="F108" s="10"/>
      <c r="G108" s="225"/>
      <c r="H108" s="10"/>
      <c r="I108" s="10"/>
      <c r="J108" s="10"/>
      <c r="K108" s="10"/>
      <c r="L108" s="10"/>
      <c r="M108" s="10"/>
      <c r="N108" s="10"/>
      <c r="O108" s="10"/>
      <c r="Q108" s="25">
        <f t="shared" si="6"/>
        <v>0</v>
      </c>
      <c r="R108" s="25">
        <f t="shared" si="7"/>
        <v>0</v>
      </c>
      <c r="S108" s="25">
        <f t="shared" si="8"/>
        <v>0</v>
      </c>
    </row>
    <row r="109" spans="1:19" x14ac:dyDescent="0.2">
      <c r="A109" s="10">
        <v>92</v>
      </c>
      <c r="B109" s="10"/>
      <c r="C109" s="1077"/>
      <c r="D109" s="1078"/>
      <c r="E109" s="10"/>
      <c r="F109" s="10"/>
      <c r="G109" s="225"/>
      <c r="H109" s="10"/>
      <c r="I109" s="10"/>
      <c r="J109" s="10"/>
      <c r="K109" s="10"/>
      <c r="L109" s="10"/>
      <c r="M109" s="10"/>
      <c r="N109" s="10"/>
      <c r="O109" s="10"/>
      <c r="Q109" s="25">
        <f t="shared" si="6"/>
        <v>0</v>
      </c>
      <c r="R109" s="25">
        <f t="shared" si="7"/>
        <v>0</v>
      </c>
      <c r="S109" s="25">
        <f t="shared" si="8"/>
        <v>0</v>
      </c>
    </row>
    <row r="110" spans="1:19" x14ac:dyDescent="0.2">
      <c r="A110" s="10">
        <v>93</v>
      </c>
      <c r="B110" s="10"/>
      <c r="C110" s="1077"/>
      <c r="D110" s="1078"/>
      <c r="E110" s="10"/>
      <c r="F110" s="10"/>
      <c r="G110" s="225"/>
      <c r="H110" s="10"/>
      <c r="I110" s="10"/>
      <c r="J110" s="10"/>
      <c r="K110" s="10"/>
      <c r="L110" s="10"/>
      <c r="M110" s="10"/>
      <c r="N110" s="10"/>
      <c r="O110" s="10"/>
      <c r="Q110" s="25">
        <f t="shared" si="6"/>
        <v>0</v>
      </c>
      <c r="R110" s="25">
        <f t="shared" si="7"/>
        <v>0</v>
      </c>
      <c r="S110" s="25">
        <f t="shared" si="8"/>
        <v>0</v>
      </c>
    </row>
    <row r="111" spans="1:19" x14ac:dyDescent="0.2">
      <c r="A111" s="10">
        <v>94</v>
      </c>
      <c r="B111" s="10"/>
      <c r="C111" s="1077"/>
      <c r="D111" s="1078"/>
      <c r="E111" s="10"/>
      <c r="F111" s="10"/>
      <c r="G111" s="225"/>
      <c r="H111" s="10"/>
      <c r="I111" s="10"/>
      <c r="J111" s="10"/>
      <c r="K111" s="10"/>
      <c r="L111" s="10"/>
      <c r="M111" s="10"/>
      <c r="N111" s="10"/>
      <c r="O111" s="10"/>
      <c r="Q111" s="25">
        <f t="shared" si="6"/>
        <v>0</v>
      </c>
      <c r="R111" s="25">
        <f t="shared" si="7"/>
        <v>0</v>
      </c>
      <c r="S111" s="25">
        <f t="shared" si="8"/>
        <v>0</v>
      </c>
    </row>
    <row r="112" spans="1:19" x14ac:dyDescent="0.2">
      <c r="A112" s="10">
        <v>95</v>
      </c>
      <c r="B112" s="10"/>
      <c r="C112" s="1077"/>
      <c r="D112" s="1078"/>
      <c r="E112" s="10"/>
      <c r="F112" s="10"/>
      <c r="G112" s="225"/>
      <c r="H112" s="10"/>
      <c r="I112" s="10"/>
      <c r="J112" s="10"/>
      <c r="K112" s="10"/>
      <c r="L112" s="10"/>
      <c r="M112" s="10"/>
      <c r="N112" s="10"/>
      <c r="O112" s="10"/>
      <c r="Q112" s="25">
        <f t="shared" si="6"/>
        <v>0</v>
      </c>
      <c r="R112" s="25">
        <f t="shared" si="7"/>
        <v>0</v>
      </c>
      <c r="S112" s="25">
        <f t="shared" si="8"/>
        <v>0</v>
      </c>
    </row>
    <row r="113" spans="1:19" x14ac:dyDescent="0.2">
      <c r="A113" s="10">
        <v>96</v>
      </c>
      <c r="B113" s="10"/>
      <c r="C113" s="1077"/>
      <c r="D113" s="1078"/>
      <c r="E113" s="10"/>
      <c r="F113" s="10"/>
      <c r="G113" s="225"/>
      <c r="H113" s="10"/>
      <c r="I113" s="10"/>
      <c r="J113" s="10"/>
      <c r="K113" s="10"/>
      <c r="L113" s="10"/>
      <c r="M113" s="10"/>
      <c r="N113" s="10"/>
      <c r="O113" s="10"/>
      <c r="Q113" s="25">
        <f t="shared" si="6"/>
        <v>0</v>
      </c>
      <c r="R113" s="25">
        <f t="shared" si="7"/>
        <v>0</v>
      </c>
      <c r="S113" s="25">
        <f t="shared" si="8"/>
        <v>0</v>
      </c>
    </row>
    <row r="114" spans="1:19" x14ac:dyDescent="0.2">
      <c r="A114" s="10">
        <v>97</v>
      </c>
      <c r="B114" s="10"/>
      <c r="C114" s="1077"/>
      <c r="D114" s="1078"/>
      <c r="E114" s="10"/>
      <c r="F114" s="10"/>
      <c r="G114" s="225"/>
      <c r="H114" s="10"/>
      <c r="I114" s="10"/>
      <c r="J114" s="10"/>
      <c r="K114" s="10"/>
      <c r="L114" s="10"/>
      <c r="M114" s="10"/>
      <c r="N114" s="10"/>
      <c r="O114" s="10"/>
      <c r="Q114" s="25">
        <f t="shared" si="6"/>
        <v>0</v>
      </c>
      <c r="R114" s="25">
        <f t="shared" si="7"/>
        <v>0</v>
      </c>
      <c r="S114" s="25">
        <f t="shared" si="8"/>
        <v>0</v>
      </c>
    </row>
    <row r="115" spans="1:19" x14ac:dyDescent="0.2">
      <c r="A115" s="10">
        <v>98</v>
      </c>
      <c r="B115" s="10"/>
      <c r="C115" s="1077"/>
      <c r="D115" s="1078"/>
      <c r="E115" s="10"/>
      <c r="F115" s="10"/>
      <c r="G115" s="225"/>
      <c r="H115" s="10"/>
      <c r="I115" s="10"/>
      <c r="J115" s="10"/>
      <c r="K115" s="10"/>
      <c r="L115" s="10"/>
      <c r="M115" s="10"/>
      <c r="N115" s="10"/>
      <c r="O115" s="10"/>
      <c r="Q115" s="25">
        <f t="shared" si="6"/>
        <v>0</v>
      </c>
      <c r="R115" s="25">
        <f t="shared" si="7"/>
        <v>0</v>
      </c>
      <c r="S115" s="25">
        <f t="shared" si="8"/>
        <v>0</v>
      </c>
    </row>
    <row r="116" spans="1:19" x14ac:dyDescent="0.2">
      <c r="A116" s="10">
        <v>99</v>
      </c>
      <c r="B116" s="10"/>
      <c r="C116" s="1077"/>
      <c r="D116" s="1078"/>
      <c r="E116" s="10"/>
      <c r="F116" s="10"/>
      <c r="G116" s="225"/>
      <c r="H116" s="10"/>
      <c r="I116" s="10"/>
      <c r="J116" s="10"/>
      <c r="K116" s="10"/>
      <c r="L116" s="10"/>
      <c r="M116" s="10"/>
      <c r="N116" s="10"/>
      <c r="O116" s="10"/>
      <c r="Q116" s="25">
        <f t="shared" si="6"/>
        <v>0</v>
      </c>
      <c r="R116" s="25">
        <f t="shared" si="7"/>
        <v>0</v>
      </c>
      <c r="S116" s="25">
        <f t="shared" si="8"/>
        <v>0</v>
      </c>
    </row>
    <row r="117" spans="1:19" x14ac:dyDescent="0.2">
      <c r="A117" s="10">
        <v>100</v>
      </c>
      <c r="B117" s="10"/>
      <c r="C117" s="1077"/>
      <c r="D117" s="1078"/>
      <c r="E117" s="10"/>
      <c r="F117" s="10"/>
      <c r="G117" s="225"/>
      <c r="H117" s="10"/>
      <c r="I117" s="10"/>
      <c r="J117" s="10"/>
      <c r="K117" s="10"/>
      <c r="L117" s="10"/>
      <c r="M117" s="10"/>
      <c r="N117" s="10"/>
      <c r="O117" s="10"/>
      <c r="Q117" s="25">
        <f t="shared" si="6"/>
        <v>0</v>
      </c>
      <c r="R117" s="25">
        <f t="shared" si="7"/>
        <v>0</v>
      </c>
      <c r="S117" s="25">
        <f t="shared" si="8"/>
        <v>0</v>
      </c>
    </row>
    <row r="120" spans="1:19" x14ac:dyDescent="0.2">
      <c r="S120" s="68"/>
    </row>
  </sheetData>
  <sheetProtection algorithmName="SHA-512" hashValue="halzHOgXS+LFtDpEqnhn7S2uoDlO/vmAyX0GXiTqr4g8vpcITX2C6Hi5wZk/8MoytBzLj86RRoLQaZcSRQitNw==" saltValue="nUtfhfq8xsfosJgUzbXLPQ==" spinCount="100000" sheet="1" objects="1" scenarios="1"/>
  <mergeCells count="119">
    <mergeCell ref="C98:D98"/>
    <mergeCell ref="C99:D99"/>
    <mergeCell ref="C100:D100"/>
    <mergeCell ref="C101:D101"/>
    <mergeCell ref="C102:D102"/>
    <mergeCell ref="C103:D103"/>
    <mergeCell ref="C92:D92"/>
    <mergeCell ref="C93:D93"/>
    <mergeCell ref="C116:D116"/>
    <mergeCell ref="C94:D94"/>
    <mergeCell ref="C95:D95"/>
    <mergeCell ref="C96:D96"/>
    <mergeCell ref="C97:D97"/>
    <mergeCell ref="C117:D117"/>
    <mergeCell ref="C108:D108"/>
    <mergeCell ref="C109:D109"/>
    <mergeCell ref="C110:D110"/>
    <mergeCell ref="C111:D111"/>
    <mergeCell ref="C112:D112"/>
    <mergeCell ref="C113:D113"/>
    <mergeCell ref="C104:D104"/>
    <mergeCell ref="C105:D105"/>
    <mergeCell ref="C106:D106"/>
    <mergeCell ref="C107:D107"/>
    <mergeCell ref="C114:D114"/>
    <mergeCell ref="C115:D115"/>
    <mergeCell ref="C86:D86"/>
    <mergeCell ref="C87:D87"/>
    <mergeCell ref="C88:D88"/>
    <mergeCell ref="C89:D89"/>
    <mergeCell ref="C90:D90"/>
    <mergeCell ref="C91:D91"/>
    <mergeCell ref="C80:D80"/>
    <mergeCell ref="C81:D81"/>
    <mergeCell ref="C82:D82"/>
    <mergeCell ref="C83:D83"/>
    <mergeCell ref="C84:D84"/>
    <mergeCell ref="C85:D85"/>
    <mergeCell ref="C74:D74"/>
    <mergeCell ref="C75:D75"/>
    <mergeCell ref="C76:D76"/>
    <mergeCell ref="C77:D77"/>
    <mergeCell ref="C78:D78"/>
    <mergeCell ref="C79:D79"/>
    <mergeCell ref="C68:D68"/>
    <mergeCell ref="C69:D69"/>
    <mergeCell ref="C70:D70"/>
    <mergeCell ref="C71:D71"/>
    <mergeCell ref="C72:D72"/>
    <mergeCell ref="C73:D73"/>
    <mergeCell ref="C62:D62"/>
    <mergeCell ref="C63:D63"/>
    <mergeCell ref="C64:D64"/>
    <mergeCell ref="C65:D65"/>
    <mergeCell ref="C66:D66"/>
    <mergeCell ref="C67:D67"/>
    <mergeCell ref="C56:D56"/>
    <mergeCell ref="C57:D57"/>
    <mergeCell ref="C58:D58"/>
    <mergeCell ref="C59:D59"/>
    <mergeCell ref="C60:D60"/>
    <mergeCell ref="C61:D61"/>
    <mergeCell ref="C50:D50"/>
    <mergeCell ref="C51:D51"/>
    <mergeCell ref="C52:D52"/>
    <mergeCell ref="C53:D53"/>
    <mergeCell ref="C54:D54"/>
    <mergeCell ref="C55:D55"/>
    <mergeCell ref="C44:D44"/>
    <mergeCell ref="C45:D45"/>
    <mergeCell ref="C46:D46"/>
    <mergeCell ref="C47:D47"/>
    <mergeCell ref="C48:D48"/>
    <mergeCell ref="C49:D49"/>
    <mergeCell ref="C38:D38"/>
    <mergeCell ref="C39:D39"/>
    <mergeCell ref="C40:D40"/>
    <mergeCell ref="C41:D41"/>
    <mergeCell ref="C42:D42"/>
    <mergeCell ref="C43:D43"/>
    <mergeCell ref="C32:D32"/>
    <mergeCell ref="C33:D33"/>
    <mergeCell ref="C34:D34"/>
    <mergeCell ref="C35:D35"/>
    <mergeCell ref="C36:D36"/>
    <mergeCell ref="C37:D37"/>
    <mergeCell ref="C26:D26"/>
    <mergeCell ref="C27:D27"/>
    <mergeCell ref="C28:D28"/>
    <mergeCell ref="C29:D29"/>
    <mergeCell ref="C30:D30"/>
    <mergeCell ref="C31:D31"/>
    <mergeCell ref="C22:D22"/>
    <mergeCell ref="C23:D23"/>
    <mergeCell ref="C24:D24"/>
    <mergeCell ref="C25:D25"/>
    <mergeCell ref="Q15:S15"/>
    <mergeCell ref="A3:L3"/>
    <mergeCell ref="A15:A17"/>
    <mergeCell ref="B15:B17"/>
    <mergeCell ref="G15:I15"/>
    <mergeCell ref="J15:L15"/>
    <mergeCell ref="D12:E12"/>
    <mergeCell ref="C20:D20"/>
    <mergeCell ref="C21:D21"/>
    <mergeCell ref="Q16:S16"/>
    <mergeCell ref="M15:O15"/>
    <mergeCell ref="B5:C5"/>
    <mergeCell ref="C15:F15"/>
    <mergeCell ref="C17:D17"/>
    <mergeCell ref="C18:D18"/>
    <mergeCell ref="C19:D19"/>
    <mergeCell ref="C16:F16"/>
    <mergeCell ref="G16:I16"/>
    <mergeCell ref="J16:L16"/>
    <mergeCell ref="M16:O16"/>
    <mergeCell ref="B8:C8"/>
    <mergeCell ref="B9:C9"/>
    <mergeCell ref="B12:C12"/>
  </mergeCells>
  <phoneticPr fontId="0" type="noConversion"/>
  <pageMargins left="1.9685039370078741" right="0.5118110236220472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L148"/>
  <sheetViews>
    <sheetView view="pageBreakPreview" zoomScale="85" zoomScaleNormal="40" zoomScaleSheetLayoutView="85" workbookViewId="0"/>
  </sheetViews>
  <sheetFormatPr defaultColWidth="11.42578125" defaultRowHeight="15" x14ac:dyDescent="0.25"/>
  <cols>
    <col min="1" max="1" width="12.28515625" style="60" customWidth="1"/>
    <col min="2" max="2" width="31.5703125" style="60" customWidth="1"/>
    <col min="3" max="3" width="48.42578125" style="60" bestFit="1" customWidth="1"/>
    <col min="4" max="6" width="25.28515625" style="60" customWidth="1"/>
    <col min="7" max="9" width="21.7109375" style="60" customWidth="1"/>
    <col min="10" max="10" width="1" style="60" customWidth="1"/>
    <col min="11" max="11" width="11.42578125" style="60" customWidth="1"/>
    <col min="12" max="12" width="38.7109375" style="60" bestFit="1" customWidth="1"/>
    <col min="13" max="13" width="1" style="60" customWidth="1"/>
    <col min="14" max="16384" width="11.42578125" style="60"/>
  </cols>
  <sheetData>
    <row r="1" spans="1:11" x14ac:dyDescent="0.25">
      <c r="B1" s="560" t="s">
        <v>1182</v>
      </c>
    </row>
    <row r="3" spans="1:11" x14ac:dyDescent="0.25">
      <c r="A3" s="1057" t="s">
        <v>475</v>
      </c>
      <c r="B3" s="1057"/>
      <c r="C3" s="1057"/>
      <c r="D3" s="1057"/>
      <c r="E3" s="1057"/>
      <c r="F3" s="1057"/>
      <c r="G3" s="1057"/>
      <c r="H3" s="1057"/>
      <c r="I3" s="1057"/>
      <c r="J3" s="1057"/>
      <c r="K3" s="1057"/>
    </row>
    <row r="5" spans="1:11" x14ac:dyDescent="0.25">
      <c r="A5" s="84" t="s">
        <v>476</v>
      </c>
      <c r="C5" s="1093" t="s">
        <v>477</v>
      </c>
      <c r="D5" s="1093"/>
      <c r="E5" s="1093"/>
    </row>
    <row r="6" spans="1:11" x14ac:dyDescent="0.25">
      <c r="A6" s="84"/>
      <c r="C6" s="271" t="s">
        <v>478</v>
      </c>
      <c r="D6" s="271" t="s">
        <v>479</v>
      </c>
      <c r="E6" s="271" t="s">
        <v>480</v>
      </c>
    </row>
    <row r="7" spans="1:11" x14ac:dyDescent="0.25">
      <c r="A7" s="1090" t="s">
        <v>11</v>
      </c>
      <c r="B7" s="1091"/>
      <c r="C7" s="275" t="s">
        <v>493</v>
      </c>
      <c r="D7" s="275" t="s">
        <v>481</v>
      </c>
      <c r="E7" s="275" t="s">
        <v>487</v>
      </c>
    </row>
    <row r="8" spans="1:11" x14ac:dyDescent="0.25">
      <c r="A8" s="1090" t="s">
        <v>12</v>
      </c>
      <c r="B8" s="1091"/>
      <c r="C8" s="275" t="s">
        <v>494</v>
      </c>
      <c r="D8" s="275" t="s">
        <v>482</v>
      </c>
      <c r="E8" s="275" t="s">
        <v>488</v>
      </c>
    </row>
    <row r="9" spans="1:11" x14ac:dyDescent="0.25">
      <c r="A9" s="1090" t="s">
        <v>13</v>
      </c>
      <c r="B9" s="1091"/>
      <c r="C9" s="275" t="s">
        <v>495</v>
      </c>
      <c r="D9" s="275" t="s">
        <v>483</v>
      </c>
      <c r="E9" s="275" t="s">
        <v>492</v>
      </c>
    </row>
    <row r="10" spans="1:11" x14ac:dyDescent="0.25">
      <c r="A10" s="1090" t="s">
        <v>14</v>
      </c>
      <c r="B10" s="1091"/>
      <c r="C10" s="275" t="s">
        <v>496</v>
      </c>
      <c r="D10" s="275" t="s">
        <v>484</v>
      </c>
      <c r="E10" s="275" t="s">
        <v>489</v>
      </c>
    </row>
    <row r="11" spans="1:11" x14ac:dyDescent="0.25">
      <c r="A11" s="1090" t="s">
        <v>15</v>
      </c>
      <c r="B11" s="1091"/>
      <c r="C11" s="275" t="s">
        <v>497</v>
      </c>
      <c r="D11" s="275" t="s">
        <v>484</v>
      </c>
      <c r="E11" s="275" t="s">
        <v>489</v>
      </c>
    </row>
    <row r="12" spans="1:11" x14ac:dyDescent="0.25">
      <c r="A12" s="1090" t="s">
        <v>16</v>
      </c>
      <c r="B12" s="1091"/>
      <c r="C12" s="275" t="s">
        <v>498</v>
      </c>
      <c r="D12" s="275" t="s">
        <v>485</v>
      </c>
      <c r="E12" s="275" t="s">
        <v>490</v>
      </c>
    </row>
    <row r="13" spans="1:11" x14ac:dyDescent="0.25">
      <c r="A13" s="1090" t="s">
        <v>17</v>
      </c>
      <c r="B13" s="1091"/>
      <c r="C13" s="275" t="s">
        <v>499</v>
      </c>
      <c r="D13" s="275" t="s">
        <v>486</v>
      </c>
      <c r="E13" s="275" t="s">
        <v>491</v>
      </c>
    </row>
    <row r="14" spans="1:11" ht="15.75" x14ac:dyDescent="0.25">
      <c r="A14" s="222"/>
      <c r="B14" s="283"/>
      <c r="C14" s="12"/>
    </row>
    <row r="15" spans="1:11" x14ac:dyDescent="0.25">
      <c r="A15" s="86" t="s">
        <v>500</v>
      </c>
      <c r="B15" s="61"/>
      <c r="C15" s="61"/>
      <c r="D15" s="61"/>
      <c r="E15" s="61"/>
      <c r="F15" s="61"/>
      <c r="G15" s="61"/>
      <c r="H15" s="61"/>
      <c r="I15" s="61"/>
      <c r="J15" s="61"/>
      <c r="K15" s="61"/>
    </row>
    <row r="16" spans="1:11" x14ac:dyDescent="0.25">
      <c r="A16" s="86"/>
      <c r="B16" s="61"/>
      <c r="C16" s="61"/>
      <c r="D16" s="61"/>
      <c r="E16" s="61"/>
      <c r="F16" s="61"/>
      <c r="G16" s="61"/>
      <c r="H16" s="61"/>
      <c r="I16" s="61"/>
      <c r="J16" s="61"/>
      <c r="K16" s="61"/>
    </row>
    <row r="17" spans="1:11" x14ac:dyDescent="0.25">
      <c r="A17" s="86" t="s">
        <v>501</v>
      </c>
      <c r="B17" s="61"/>
      <c r="C17" s="61"/>
      <c r="D17" s="61"/>
      <c r="E17" s="61"/>
      <c r="F17" s="61"/>
      <c r="G17" s="61"/>
      <c r="H17" s="61"/>
      <c r="I17" s="61"/>
      <c r="J17" s="61"/>
      <c r="K17" s="61"/>
    </row>
    <row r="18" spans="1:11" x14ac:dyDescent="0.25">
      <c r="A18" s="86"/>
      <c r="B18" s="61"/>
      <c r="C18" s="61"/>
      <c r="D18" s="61"/>
      <c r="E18" s="61"/>
      <c r="F18" s="61"/>
      <c r="G18" s="61"/>
      <c r="H18" s="61"/>
      <c r="I18" s="61"/>
      <c r="J18" s="61"/>
      <c r="K18" s="61"/>
    </row>
    <row r="19" spans="1:11" x14ac:dyDescent="0.25">
      <c r="A19" s="1105" t="s">
        <v>8</v>
      </c>
      <c r="B19" s="1106"/>
      <c r="C19" s="1092" t="s">
        <v>6</v>
      </c>
      <c r="D19" s="1092"/>
      <c r="E19" s="1092" t="s">
        <v>7</v>
      </c>
      <c r="F19" s="1092"/>
    </row>
    <row r="20" spans="1:11" x14ac:dyDescent="0.25">
      <c r="A20" s="1108"/>
      <c r="B20" s="1109"/>
      <c r="C20" s="284" t="s">
        <v>9</v>
      </c>
      <c r="D20" s="284" t="s">
        <v>10</v>
      </c>
      <c r="E20" s="284" t="s">
        <v>9</v>
      </c>
      <c r="F20" s="284" t="s">
        <v>10</v>
      </c>
    </row>
    <row r="21" spans="1:11" ht="15" customHeight="1" x14ac:dyDescent="0.25">
      <c r="A21" s="1103" t="s">
        <v>11</v>
      </c>
      <c r="B21" s="1104"/>
      <c r="C21" s="285"/>
      <c r="D21" s="285"/>
      <c r="E21" s="285"/>
      <c r="F21" s="285"/>
    </row>
    <row r="22" spans="1:11" x14ac:dyDescent="0.25">
      <c r="A22" s="1103" t="s">
        <v>12</v>
      </c>
      <c r="B22" s="1104"/>
      <c r="C22" s="285">
        <f>Ent_Geral!C16</f>
        <v>0</v>
      </c>
      <c r="D22" s="285"/>
      <c r="E22" s="285"/>
      <c r="F22" s="285"/>
    </row>
    <row r="23" spans="1:11" x14ac:dyDescent="0.25">
      <c r="A23" s="1103" t="s">
        <v>13</v>
      </c>
      <c r="B23" s="1104"/>
      <c r="C23" s="285">
        <f>Ent_Geral!D16</f>
        <v>0</v>
      </c>
      <c r="D23" s="285"/>
      <c r="E23" s="285"/>
      <c r="F23" s="285"/>
    </row>
    <row r="24" spans="1:11" x14ac:dyDescent="0.25">
      <c r="A24" s="1103" t="s">
        <v>14</v>
      </c>
      <c r="B24" s="1104"/>
      <c r="C24" s="285">
        <f>Ent_Geral!E16</f>
        <v>11</v>
      </c>
      <c r="D24" s="285"/>
      <c r="E24" s="285"/>
      <c r="F24" s="285"/>
    </row>
    <row r="25" spans="1:11" x14ac:dyDescent="0.25">
      <c r="A25" s="1103" t="s">
        <v>15</v>
      </c>
      <c r="B25" s="1104"/>
      <c r="C25" s="285"/>
      <c r="D25" s="285"/>
      <c r="E25" s="285"/>
      <c r="F25" s="285"/>
    </row>
    <row r="26" spans="1:11" x14ac:dyDescent="0.25">
      <c r="A26" s="1103" t="s">
        <v>16</v>
      </c>
      <c r="B26" s="1104"/>
      <c r="C26" s="285"/>
      <c r="D26" s="285"/>
      <c r="E26" s="285"/>
      <c r="F26" s="285"/>
    </row>
    <row r="27" spans="1:11" x14ac:dyDescent="0.25">
      <c r="A27" s="1103" t="s">
        <v>17</v>
      </c>
      <c r="B27" s="1104"/>
      <c r="C27" s="285"/>
      <c r="D27" s="285"/>
      <c r="E27" s="285"/>
      <c r="F27" s="285"/>
      <c r="G27" s="286"/>
    </row>
    <row r="29" spans="1:11" x14ac:dyDescent="0.25">
      <c r="A29" s="86" t="s">
        <v>502</v>
      </c>
      <c r="B29" s="61"/>
    </row>
    <row r="30" spans="1:11" x14ac:dyDescent="0.25">
      <c r="A30" s="86"/>
      <c r="B30" s="61"/>
    </row>
    <row r="31" spans="1:11" x14ac:dyDescent="0.25">
      <c r="A31" s="1105" t="s">
        <v>8</v>
      </c>
      <c r="B31" s="1106"/>
      <c r="C31" s="1107"/>
      <c r="D31" s="1115" t="s">
        <v>115</v>
      </c>
      <c r="E31" s="1111" t="s">
        <v>6</v>
      </c>
      <c r="F31" s="1112"/>
      <c r="G31" s="1111" t="s">
        <v>7</v>
      </c>
      <c r="H31" s="1112"/>
    </row>
    <row r="32" spans="1:11" x14ac:dyDescent="0.25">
      <c r="A32" s="1108"/>
      <c r="B32" s="1109"/>
      <c r="C32" s="1110"/>
      <c r="D32" s="1116"/>
      <c r="E32" s="284" t="s">
        <v>9</v>
      </c>
      <c r="F32" s="284" t="s">
        <v>10</v>
      </c>
      <c r="G32" s="284" t="s">
        <v>9</v>
      </c>
      <c r="H32" s="284" t="s">
        <v>10</v>
      </c>
    </row>
    <row r="33" spans="1:12" hidden="1" x14ac:dyDescent="0.25">
      <c r="A33" s="1094" t="s">
        <v>124</v>
      </c>
      <c r="B33" s="1095"/>
      <c r="C33" s="1096"/>
      <c r="D33" s="287">
        <v>0</v>
      </c>
      <c r="E33" s="285"/>
      <c r="F33" s="285"/>
      <c r="G33" s="285"/>
      <c r="H33" s="285"/>
      <c r="L33" s="286"/>
    </row>
    <row r="34" spans="1:12" hidden="1" x14ac:dyDescent="0.25">
      <c r="A34" s="1097"/>
      <c r="B34" s="1098"/>
      <c r="C34" s="1099"/>
      <c r="D34" s="288">
        <v>1</v>
      </c>
      <c r="E34" s="285"/>
      <c r="F34" s="285"/>
      <c r="G34" s="285"/>
      <c r="H34" s="285"/>
    </row>
    <row r="35" spans="1:12" hidden="1" x14ac:dyDescent="0.25">
      <c r="A35" s="1097"/>
      <c r="B35" s="1098"/>
      <c r="C35" s="1099"/>
      <c r="D35" s="288">
        <v>2</v>
      </c>
      <c r="E35" s="285"/>
      <c r="F35" s="285"/>
      <c r="G35" s="285"/>
      <c r="H35" s="285"/>
    </row>
    <row r="36" spans="1:12" hidden="1" x14ac:dyDescent="0.25">
      <c r="A36" s="1097"/>
      <c r="B36" s="1098"/>
      <c r="C36" s="1099"/>
      <c r="D36" s="288">
        <v>3</v>
      </c>
      <c r="E36" s="285"/>
      <c r="F36" s="285"/>
      <c r="G36" s="285"/>
      <c r="H36" s="285"/>
    </row>
    <row r="37" spans="1:12" hidden="1" x14ac:dyDescent="0.25">
      <c r="A37" s="1097"/>
      <c r="B37" s="1098"/>
      <c r="C37" s="1099"/>
      <c r="D37" s="288">
        <v>4</v>
      </c>
      <c r="E37" s="285"/>
      <c r="F37" s="285"/>
      <c r="G37" s="285"/>
      <c r="H37" s="285"/>
    </row>
    <row r="38" spans="1:12" hidden="1" x14ac:dyDescent="0.25">
      <c r="A38" s="1100"/>
      <c r="B38" s="1101"/>
      <c r="C38" s="1102"/>
      <c r="D38" s="288">
        <v>5</v>
      </c>
      <c r="E38" s="285"/>
      <c r="F38" s="285"/>
      <c r="G38" s="285"/>
      <c r="H38" s="285"/>
    </row>
    <row r="39" spans="1:12" x14ac:dyDescent="0.25">
      <c r="A39" s="1094" t="s">
        <v>12</v>
      </c>
      <c r="B39" s="1095"/>
      <c r="C39" s="1096"/>
      <c r="D39" s="288">
        <v>0</v>
      </c>
      <c r="E39" s="285">
        <f>Ent_Geral!C5</f>
        <v>0</v>
      </c>
      <c r="F39" s="285"/>
      <c r="G39" s="285"/>
      <c r="H39" s="285"/>
    </row>
    <row r="40" spans="1:12" x14ac:dyDescent="0.25">
      <c r="A40" s="1097"/>
      <c r="B40" s="1098"/>
      <c r="C40" s="1099"/>
      <c r="D40" s="288">
        <v>1</v>
      </c>
      <c r="E40" s="285">
        <f>Ent_Geral!C6</f>
        <v>0</v>
      </c>
      <c r="F40" s="285"/>
      <c r="G40" s="285"/>
      <c r="H40" s="285"/>
    </row>
    <row r="41" spans="1:12" x14ac:dyDescent="0.25">
      <c r="A41" s="1097"/>
      <c r="B41" s="1098"/>
      <c r="C41" s="1099"/>
      <c r="D41" s="288">
        <v>2</v>
      </c>
      <c r="E41" s="285">
        <f>Ent_Geral!C7</f>
        <v>0</v>
      </c>
      <c r="F41" s="285"/>
      <c r="G41" s="285"/>
      <c r="H41" s="285"/>
    </row>
    <row r="42" spans="1:12" x14ac:dyDescent="0.25">
      <c r="A42" s="1097"/>
      <c r="B42" s="1098"/>
      <c r="C42" s="1099"/>
      <c r="D42" s="288">
        <v>3</v>
      </c>
      <c r="E42" s="285">
        <f>Ent_Geral!C8</f>
        <v>0</v>
      </c>
      <c r="F42" s="285"/>
      <c r="G42" s="285"/>
      <c r="H42" s="285"/>
    </row>
    <row r="43" spans="1:12" x14ac:dyDescent="0.25">
      <c r="A43" s="1097"/>
      <c r="B43" s="1098"/>
      <c r="C43" s="1099"/>
      <c r="D43" s="288">
        <v>4</v>
      </c>
      <c r="E43" s="285">
        <f>Ent_Geral!C9</f>
        <v>0</v>
      </c>
      <c r="F43" s="285"/>
      <c r="G43" s="285"/>
      <c r="H43" s="285"/>
    </row>
    <row r="44" spans="1:12" x14ac:dyDescent="0.25">
      <c r="A44" s="1097"/>
      <c r="B44" s="1098"/>
      <c r="C44" s="1099"/>
      <c r="D44" s="288">
        <v>5</v>
      </c>
      <c r="E44" s="285">
        <f>Ent_Geral!C10</f>
        <v>0</v>
      </c>
      <c r="F44" s="285"/>
      <c r="G44" s="285"/>
      <c r="H44" s="285"/>
    </row>
    <row r="45" spans="1:12" x14ac:dyDescent="0.25">
      <c r="A45" s="1097"/>
      <c r="B45" s="1098"/>
      <c r="C45" s="1099"/>
      <c r="D45" s="288">
        <v>6</v>
      </c>
      <c r="E45" s="285">
        <f>Ent_Geral!C11</f>
        <v>0</v>
      </c>
      <c r="F45" s="285"/>
      <c r="G45" s="285"/>
      <c r="H45" s="285"/>
    </row>
    <row r="46" spans="1:12" x14ac:dyDescent="0.25">
      <c r="A46" s="1097"/>
      <c r="B46" s="1098"/>
      <c r="C46" s="1099"/>
      <c r="D46" s="288">
        <v>7</v>
      </c>
      <c r="E46" s="285">
        <f>Ent_Geral!C12</f>
        <v>0</v>
      </c>
      <c r="F46" s="285"/>
      <c r="G46" s="285"/>
      <c r="H46" s="285"/>
    </row>
    <row r="47" spans="1:12" x14ac:dyDescent="0.25">
      <c r="A47" s="1097"/>
      <c r="B47" s="1098"/>
      <c r="C47" s="1099"/>
      <c r="D47" s="288">
        <v>8</v>
      </c>
      <c r="E47" s="285">
        <f>Ent_Geral!C13</f>
        <v>0</v>
      </c>
      <c r="F47" s="285"/>
      <c r="G47" s="285"/>
      <c r="H47" s="285"/>
    </row>
    <row r="48" spans="1:12" x14ac:dyDescent="0.25">
      <c r="A48" s="1097"/>
      <c r="B48" s="1098"/>
      <c r="C48" s="1099"/>
      <c r="D48" s="288">
        <v>9</v>
      </c>
      <c r="E48" s="285">
        <f>Ent_Geral!C14</f>
        <v>0</v>
      </c>
      <c r="F48" s="285"/>
      <c r="G48" s="285"/>
      <c r="H48" s="285"/>
    </row>
    <row r="49" spans="1:8" x14ac:dyDescent="0.25">
      <c r="A49" s="1100"/>
      <c r="B49" s="1101"/>
      <c r="C49" s="1102"/>
      <c r="D49" s="288">
        <v>10</v>
      </c>
      <c r="E49" s="285">
        <f>Ent_Geral!C15</f>
        <v>0</v>
      </c>
      <c r="F49" s="285"/>
      <c r="G49" s="285"/>
      <c r="H49" s="285"/>
    </row>
    <row r="50" spans="1:8" x14ac:dyDescent="0.25">
      <c r="A50" s="1094" t="s">
        <v>13</v>
      </c>
      <c r="B50" s="1095"/>
      <c r="C50" s="1096"/>
      <c r="D50" s="288">
        <v>0</v>
      </c>
      <c r="E50" s="285">
        <f>Ent_Geral!D5</f>
        <v>0</v>
      </c>
      <c r="F50" s="285"/>
      <c r="G50" s="285"/>
      <c r="H50" s="285"/>
    </row>
    <row r="51" spans="1:8" x14ac:dyDescent="0.25">
      <c r="A51" s="1097"/>
      <c r="B51" s="1098"/>
      <c r="C51" s="1099"/>
      <c r="D51" s="288">
        <v>1</v>
      </c>
      <c r="E51" s="285">
        <f>Ent_Geral!D6</f>
        <v>0</v>
      </c>
      <c r="F51" s="285"/>
      <c r="G51" s="285"/>
      <c r="H51" s="285"/>
    </row>
    <row r="52" spans="1:8" x14ac:dyDescent="0.25">
      <c r="A52" s="1097"/>
      <c r="B52" s="1098"/>
      <c r="C52" s="1099"/>
      <c r="D52" s="288">
        <v>2</v>
      </c>
      <c r="E52" s="285">
        <f>Ent_Geral!D7</f>
        <v>0</v>
      </c>
      <c r="F52" s="285"/>
      <c r="G52" s="285"/>
      <c r="H52" s="285"/>
    </row>
    <row r="53" spans="1:8" x14ac:dyDescent="0.25">
      <c r="A53" s="1097"/>
      <c r="B53" s="1098"/>
      <c r="C53" s="1099"/>
      <c r="D53" s="288">
        <v>3</v>
      </c>
      <c r="E53" s="285">
        <f>Ent_Geral!D8</f>
        <v>0</v>
      </c>
      <c r="F53" s="285"/>
      <c r="G53" s="285"/>
      <c r="H53" s="285"/>
    </row>
    <row r="54" spans="1:8" x14ac:dyDescent="0.25">
      <c r="A54" s="1097"/>
      <c r="B54" s="1098"/>
      <c r="C54" s="1099"/>
      <c r="D54" s="288">
        <v>4</v>
      </c>
      <c r="E54" s="285">
        <f>Ent_Geral!D9</f>
        <v>0</v>
      </c>
      <c r="F54" s="285"/>
      <c r="G54" s="285"/>
      <c r="H54" s="285"/>
    </row>
    <row r="55" spans="1:8" x14ac:dyDescent="0.25">
      <c r="A55" s="1097"/>
      <c r="B55" s="1098"/>
      <c r="C55" s="1099"/>
      <c r="D55" s="288">
        <v>5</v>
      </c>
      <c r="E55" s="285">
        <f>Ent_Geral!D10</f>
        <v>0</v>
      </c>
      <c r="F55" s="285"/>
      <c r="G55" s="285"/>
      <c r="H55" s="285"/>
    </row>
    <row r="56" spans="1:8" x14ac:dyDescent="0.25">
      <c r="A56" s="1097"/>
      <c r="B56" s="1098"/>
      <c r="C56" s="1099"/>
      <c r="D56" s="288">
        <v>6</v>
      </c>
      <c r="E56" s="285">
        <f>Ent_Geral!D11</f>
        <v>0</v>
      </c>
      <c r="F56" s="285"/>
      <c r="G56" s="285"/>
      <c r="H56" s="285"/>
    </row>
    <row r="57" spans="1:8" x14ac:dyDescent="0.25">
      <c r="A57" s="1097"/>
      <c r="B57" s="1098"/>
      <c r="C57" s="1099"/>
      <c r="D57" s="288">
        <v>7</v>
      </c>
      <c r="E57" s="285">
        <f>Ent_Geral!D12</f>
        <v>0</v>
      </c>
      <c r="F57" s="285"/>
      <c r="G57" s="285"/>
      <c r="H57" s="285"/>
    </row>
    <row r="58" spans="1:8" x14ac:dyDescent="0.25">
      <c r="A58" s="1097"/>
      <c r="B58" s="1098"/>
      <c r="C58" s="1099"/>
      <c r="D58" s="288">
        <v>8</v>
      </c>
      <c r="E58" s="285">
        <f>Ent_Geral!D13</f>
        <v>0</v>
      </c>
      <c r="F58" s="285"/>
      <c r="G58" s="285"/>
      <c r="H58" s="285"/>
    </row>
    <row r="59" spans="1:8" x14ac:dyDescent="0.25">
      <c r="A59" s="1097"/>
      <c r="B59" s="1098"/>
      <c r="C59" s="1099"/>
      <c r="D59" s="288">
        <v>9</v>
      </c>
      <c r="E59" s="285">
        <f>Ent_Geral!D14</f>
        <v>0</v>
      </c>
      <c r="F59" s="285"/>
      <c r="G59" s="285"/>
      <c r="H59" s="285"/>
    </row>
    <row r="60" spans="1:8" x14ac:dyDescent="0.25">
      <c r="A60" s="1100"/>
      <c r="B60" s="1101"/>
      <c r="C60" s="1102"/>
      <c r="D60" s="288">
        <v>10</v>
      </c>
      <c r="E60" s="285">
        <f>Ent_Geral!D15</f>
        <v>0</v>
      </c>
      <c r="F60" s="285"/>
      <c r="G60" s="285"/>
      <c r="H60" s="285"/>
    </row>
    <row r="61" spans="1:8" hidden="1" x14ac:dyDescent="0.25">
      <c r="A61" s="1094" t="s">
        <v>14</v>
      </c>
      <c r="B61" s="1095"/>
      <c r="C61" s="1096"/>
      <c r="D61" s="288">
        <v>0</v>
      </c>
      <c r="E61" s="285">
        <f>Ent_Geral!E5</f>
        <v>0</v>
      </c>
      <c r="F61" s="285"/>
      <c r="G61" s="285"/>
      <c r="H61" s="285"/>
    </row>
    <row r="62" spans="1:8" hidden="1" x14ac:dyDescent="0.25">
      <c r="A62" s="1097"/>
      <c r="B62" s="1098"/>
      <c r="C62" s="1099"/>
      <c r="D62" s="288">
        <v>1</v>
      </c>
      <c r="E62" s="285">
        <f>Ent_Geral!E6</f>
        <v>0</v>
      </c>
      <c r="F62" s="285"/>
      <c r="G62" s="285"/>
      <c r="H62" s="285"/>
    </row>
    <row r="63" spans="1:8" hidden="1" x14ac:dyDescent="0.25">
      <c r="A63" s="1097"/>
      <c r="B63" s="1098"/>
      <c r="C63" s="1099"/>
      <c r="D63" s="288">
        <v>2</v>
      </c>
      <c r="E63" s="285">
        <f>Ent_Geral!E7</f>
        <v>0</v>
      </c>
      <c r="F63" s="285"/>
      <c r="G63" s="285"/>
      <c r="H63" s="285"/>
    </row>
    <row r="64" spans="1:8" hidden="1" x14ac:dyDescent="0.25">
      <c r="A64" s="1097"/>
      <c r="B64" s="1098"/>
      <c r="C64" s="1099"/>
      <c r="D64" s="288">
        <v>3</v>
      </c>
      <c r="E64" s="285">
        <f>Ent_Geral!E8</f>
        <v>0</v>
      </c>
      <c r="F64" s="285"/>
      <c r="G64" s="285"/>
      <c r="H64" s="285"/>
    </row>
    <row r="65" spans="1:8" hidden="1" x14ac:dyDescent="0.25">
      <c r="A65" s="1097"/>
      <c r="B65" s="1098"/>
      <c r="C65" s="1099"/>
      <c r="D65" s="288">
        <v>4</v>
      </c>
      <c r="E65" s="285">
        <f>Ent_Geral!E9</f>
        <v>0</v>
      </c>
      <c r="F65" s="285"/>
      <c r="G65" s="285"/>
      <c r="H65" s="285"/>
    </row>
    <row r="66" spans="1:8" hidden="1" x14ac:dyDescent="0.25">
      <c r="A66" s="1097"/>
      <c r="B66" s="1098"/>
      <c r="C66" s="1099"/>
      <c r="D66" s="288">
        <v>5</v>
      </c>
      <c r="E66" s="285">
        <f>Ent_Geral!E10</f>
        <v>4</v>
      </c>
      <c r="F66" s="285"/>
      <c r="G66" s="285"/>
      <c r="H66" s="285"/>
    </row>
    <row r="67" spans="1:8" hidden="1" x14ac:dyDescent="0.25">
      <c r="A67" s="1097"/>
      <c r="B67" s="1098"/>
      <c r="C67" s="1099"/>
      <c r="D67" s="288">
        <v>6</v>
      </c>
      <c r="E67" s="285">
        <f>Ent_Geral!E11</f>
        <v>0</v>
      </c>
      <c r="F67" s="285"/>
      <c r="G67" s="285"/>
      <c r="H67" s="285"/>
    </row>
    <row r="68" spans="1:8" hidden="1" x14ac:dyDescent="0.25">
      <c r="A68" s="1097"/>
      <c r="B68" s="1098"/>
      <c r="C68" s="1099"/>
      <c r="D68" s="288">
        <v>7</v>
      </c>
      <c r="E68" s="285">
        <f>Ent_Geral!E12</f>
        <v>3</v>
      </c>
      <c r="F68" s="285"/>
      <c r="G68" s="285"/>
      <c r="H68" s="285"/>
    </row>
    <row r="69" spans="1:8" hidden="1" x14ac:dyDescent="0.25">
      <c r="A69" s="1097"/>
      <c r="B69" s="1098"/>
      <c r="C69" s="1099"/>
      <c r="D69" s="288">
        <v>8</v>
      </c>
      <c r="E69" s="285">
        <f>Ent_Geral!E13</f>
        <v>0</v>
      </c>
      <c r="F69" s="285"/>
      <c r="G69" s="285"/>
      <c r="H69" s="285"/>
    </row>
    <row r="70" spans="1:8" hidden="1" x14ac:dyDescent="0.25">
      <c r="A70" s="1097"/>
      <c r="B70" s="1098"/>
      <c r="C70" s="1099"/>
      <c r="D70" s="288">
        <v>9</v>
      </c>
      <c r="E70" s="285">
        <f>Ent_Geral!E14</f>
        <v>4</v>
      </c>
      <c r="F70" s="285"/>
      <c r="G70" s="285"/>
      <c r="H70" s="285"/>
    </row>
    <row r="71" spans="1:8" hidden="1" x14ac:dyDescent="0.25">
      <c r="A71" s="1100"/>
      <c r="B71" s="1101"/>
      <c r="C71" s="1102"/>
      <c r="D71" s="288">
        <v>10</v>
      </c>
      <c r="E71" s="285">
        <f>Ent_Geral!E15</f>
        <v>0</v>
      </c>
      <c r="F71" s="285"/>
      <c r="G71" s="285"/>
      <c r="H71" s="285"/>
    </row>
    <row r="72" spans="1:8" hidden="1" x14ac:dyDescent="0.25">
      <c r="A72" s="1094" t="s">
        <v>15</v>
      </c>
      <c r="B72" s="1095"/>
      <c r="C72" s="1096"/>
      <c r="D72" s="288">
        <v>0</v>
      </c>
      <c r="E72" s="285"/>
      <c r="F72" s="285"/>
      <c r="G72" s="285"/>
      <c r="H72" s="285"/>
    </row>
    <row r="73" spans="1:8" hidden="1" x14ac:dyDescent="0.25">
      <c r="A73" s="1097"/>
      <c r="B73" s="1098"/>
      <c r="C73" s="1099"/>
      <c r="D73" s="288">
        <v>1</v>
      </c>
      <c r="E73" s="285"/>
      <c r="F73" s="285"/>
      <c r="G73" s="285"/>
      <c r="H73" s="285"/>
    </row>
    <row r="74" spans="1:8" hidden="1" x14ac:dyDescent="0.25">
      <c r="A74" s="1097"/>
      <c r="B74" s="1098"/>
      <c r="C74" s="1099"/>
      <c r="D74" s="288">
        <v>2</v>
      </c>
      <c r="E74" s="285"/>
      <c r="F74" s="285"/>
      <c r="G74" s="285"/>
      <c r="H74" s="285"/>
    </row>
    <row r="75" spans="1:8" hidden="1" x14ac:dyDescent="0.25">
      <c r="A75" s="1097"/>
      <c r="B75" s="1098"/>
      <c r="C75" s="1099"/>
      <c r="D75" s="288">
        <v>3</v>
      </c>
      <c r="E75" s="285"/>
      <c r="F75" s="285"/>
      <c r="G75" s="285"/>
      <c r="H75" s="285"/>
    </row>
    <row r="76" spans="1:8" hidden="1" x14ac:dyDescent="0.25">
      <c r="A76" s="1097"/>
      <c r="B76" s="1098"/>
      <c r="C76" s="1099"/>
      <c r="D76" s="288">
        <v>4</v>
      </c>
      <c r="E76" s="285"/>
      <c r="F76" s="285"/>
      <c r="G76" s="285"/>
      <c r="H76" s="285"/>
    </row>
    <row r="77" spans="1:8" hidden="1" x14ac:dyDescent="0.25">
      <c r="A77" s="1097"/>
      <c r="B77" s="1098"/>
      <c r="C77" s="1099"/>
      <c r="D77" s="288">
        <v>5</v>
      </c>
      <c r="E77" s="285"/>
      <c r="F77" s="285"/>
      <c r="G77" s="285"/>
      <c r="H77" s="285"/>
    </row>
    <row r="78" spans="1:8" hidden="1" x14ac:dyDescent="0.25">
      <c r="A78" s="1097"/>
      <c r="B78" s="1098"/>
      <c r="C78" s="1099"/>
      <c r="D78" s="288">
        <v>6</v>
      </c>
      <c r="E78" s="285"/>
      <c r="F78" s="285"/>
      <c r="G78" s="285"/>
      <c r="H78" s="285"/>
    </row>
    <row r="79" spans="1:8" hidden="1" x14ac:dyDescent="0.25">
      <c r="A79" s="1097"/>
      <c r="B79" s="1098"/>
      <c r="C79" s="1099"/>
      <c r="D79" s="288">
        <v>7</v>
      </c>
      <c r="E79" s="285"/>
      <c r="F79" s="285"/>
      <c r="G79" s="285"/>
      <c r="H79" s="285"/>
    </row>
    <row r="80" spans="1:8" hidden="1" x14ac:dyDescent="0.25">
      <c r="A80" s="1097"/>
      <c r="B80" s="1098"/>
      <c r="C80" s="1099"/>
      <c r="D80" s="288">
        <v>8</v>
      </c>
      <c r="E80" s="285"/>
      <c r="F80" s="285"/>
      <c r="G80" s="285"/>
      <c r="H80" s="285"/>
    </row>
    <row r="81" spans="1:8" hidden="1" x14ac:dyDescent="0.25">
      <c r="A81" s="1097"/>
      <c r="B81" s="1098"/>
      <c r="C81" s="1099"/>
      <c r="D81" s="288">
        <v>9</v>
      </c>
      <c r="E81" s="285"/>
      <c r="F81" s="285"/>
      <c r="G81" s="285"/>
      <c r="H81" s="285"/>
    </row>
    <row r="82" spans="1:8" hidden="1" x14ac:dyDescent="0.25">
      <c r="A82" s="1100"/>
      <c r="B82" s="1101"/>
      <c r="C82" s="1102"/>
      <c r="D82" s="288">
        <v>10</v>
      </c>
      <c r="E82" s="285"/>
      <c r="F82" s="285"/>
      <c r="G82" s="285"/>
      <c r="H82" s="285"/>
    </row>
    <row r="83" spans="1:8" hidden="1" x14ac:dyDescent="0.25">
      <c r="A83" s="1094" t="s">
        <v>16</v>
      </c>
      <c r="B83" s="1095"/>
      <c r="C83" s="1096"/>
      <c r="D83" s="288">
        <v>0</v>
      </c>
      <c r="E83" s="285"/>
      <c r="F83" s="285"/>
      <c r="G83" s="285"/>
      <c r="H83" s="285"/>
    </row>
    <row r="84" spans="1:8" hidden="1" x14ac:dyDescent="0.25">
      <c r="A84" s="1097"/>
      <c r="B84" s="1098"/>
      <c r="C84" s="1099"/>
      <c r="D84" s="288">
        <v>1</v>
      </c>
      <c r="E84" s="285"/>
      <c r="F84" s="285"/>
      <c r="G84" s="285"/>
      <c r="H84" s="285"/>
    </row>
    <row r="85" spans="1:8" hidden="1" x14ac:dyDescent="0.25">
      <c r="A85" s="1097"/>
      <c r="B85" s="1098"/>
      <c r="C85" s="1099"/>
      <c r="D85" s="288">
        <v>2</v>
      </c>
      <c r="E85" s="285"/>
      <c r="F85" s="285"/>
      <c r="G85" s="285"/>
      <c r="H85" s="285"/>
    </row>
    <row r="86" spans="1:8" hidden="1" x14ac:dyDescent="0.25">
      <c r="A86" s="1097"/>
      <c r="B86" s="1098"/>
      <c r="C86" s="1099"/>
      <c r="D86" s="288">
        <v>3</v>
      </c>
      <c r="E86" s="285"/>
      <c r="F86" s="285"/>
      <c r="G86" s="285"/>
      <c r="H86" s="285"/>
    </row>
    <row r="87" spans="1:8" hidden="1" x14ac:dyDescent="0.25">
      <c r="A87" s="1097"/>
      <c r="B87" s="1098"/>
      <c r="C87" s="1099"/>
      <c r="D87" s="288">
        <v>4</v>
      </c>
      <c r="E87" s="285"/>
      <c r="F87" s="285"/>
      <c r="G87" s="285"/>
      <c r="H87" s="285"/>
    </row>
    <row r="88" spans="1:8" hidden="1" x14ac:dyDescent="0.25">
      <c r="A88" s="1097"/>
      <c r="B88" s="1098"/>
      <c r="C88" s="1099"/>
      <c r="D88" s="288">
        <v>5</v>
      </c>
      <c r="E88" s="285"/>
      <c r="F88" s="285"/>
      <c r="G88" s="285"/>
      <c r="H88" s="285"/>
    </row>
    <row r="89" spans="1:8" hidden="1" x14ac:dyDescent="0.25">
      <c r="A89" s="1097"/>
      <c r="B89" s="1098"/>
      <c r="C89" s="1099"/>
      <c r="D89" s="288">
        <v>6</v>
      </c>
      <c r="E89" s="285"/>
      <c r="F89" s="285"/>
      <c r="G89" s="285"/>
      <c r="H89" s="285"/>
    </row>
    <row r="90" spans="1:8" hidden="1" x14ac:dyDescent="0.25">
      <c r="A90" s="1097"/>
      <c r="B90" s="1098"/>
      <c r="C90" s="1099"/>
      <c r="D90" s="288">
        <v>7</v>
      </c>
      <c r="E90" s="285"/>
      <c r="F90" s="285"/>
      <c r="G90" s="285"/>
      <c r="H90" s="285"/>
    </row>
    <row r="91" spans="1:8" hidden="1" x14ac:dyDescent="0.25">
      <c r="A91" s="1097"/>
      <c r="B91" s="1098"/>
      <c r="C91" s="1099"/>
      <c r="D91" s="288">
        <v>8</v>
      </c>
      <c r="E91" s="285"/>
      <c r="F91" s="285"/>
      <c r="G91" s="285"/>
      <c r="H91" s="285"/>
    </row>
    <row r="92" spans="1:8" hidden="1" x14ac:dyDescent="0.25">
      <c r="A92" s="1097"/>
      <c r="B92" s="1098"/>
      <c r="C92" s="1099"/>
      <c r="D92" s="288">
        <v>9</v>
      </c>
      <c r="E92" s="285"/>
      <c r="F92" s="285"/>
      <c r="G92" s="285"/>
      <c r="H92" s="285"/>
    </row>
    <row r="93" spans="1:8" hidden="1" x14ac:dyDescent="0.25">
      <c r="A93" s="1097"/>
      <c r="B93" s="1098"/>
      <c r="C93" s="1099"/>
      <c r="D93" s="288">
        <v>10</v>
      </c>
      <c r="E93" s="285"/>
      <c r="F93" s="285"/>
      <c r="G93" s="285"/>
      <c r="H93" s="285"/>
    </row>
    <row r="94" spans="1:8" hidden="1" x14ac:dyDescent="0.25">
      <c r="A94" s="1097"/>
      <c r="B94" s="1098"/>
      <c r="C94" s="1099"/>
      <c r="D94" s="288">
        <v>11</v>
      </c>
      <c r="E94" s="285"/>
      <c r="F94" s="285"/>
      <c r="G94" s="285"/>
      <c r="H94" s="285"/>
    </row>
    <row r="95" spans="1:8" hidden="1" x14ac:dyDescent="0.25">
      <c r="A95" s="1100"/>
      <c r="B95" s="1101"/>
      <c r="C95" s="1102"/>
      <c r="D95" s="288">
        <v>12</v>
      </c>
      <c r="E95" s="285"/>
      <c r="F95" s="285"/>
      <c r="G95" s="285"/>
      <c r="H95" s="285"/>
    </row>
    <row r="96" spans="1:8" hidden="1" x14ac:dyDescent="0.25">
      <c r="A96" s="1114" t="s">
        <v>17</v>
      </c>
      <c r="B96" s="1114"/>
      <c r="C96" s="1114"/>
      <c r="D96" s="288">
        <v>0</v>
      </c>
      <c r="E96" s="285"/>
      <c r="F96" s="285"/>
      <c r="G96" s="285"/>
      <c r="H96" s="285"/>
    </row>
    <row r="97" spans="1:8" hidden="1" x14ac:dyDescent="0.25">
      <c r="A97" s="1114"/>
      <c r="B97" s="1114"/>
      <c r="C97" s="1114"/>
      <c r="D97" s="288">
        <v>1</v>
      </c>
      <c r="E97" s="285"/>
      <c r="F97" s="285"/>
      <c r="G97" s="285"/>
      <c r="H97" s="285"/>
    </row>
    <row r="98" spans="1:8" hidden="1" x14ac:dyDescent="0.25">
      <c r="A98" s="1114"/>
      <c r="B98" s="1114"/>
      <c r="C98" s="1114"/>
      <c r="D98" s="288">
        <v>2</v>
      </c>
      <c r="E98" s="285"/>
      <c r="F98" s="285"/>
      <c r="G98" s="285"/>
      <c r="H98" s="285"/>
    </row>
    <row r="99" spans="1:8" hidden="1" x14ac:dyDescent="0.25">
      <c r="A99" s="1114"/>
      <c r="B99" s="1114"/>
      <c r="C99" s="1114"/>
      <c r="D99" s="288">
        <v>3</v>
      </c>
      <c r="E99" s="285"/>
      <c r="F99" s="285"/>
      <c r="G99" s="285"/>
      <c r="H99" s="285"/>
    </row>
    <row r="100" spans="1:8" hidden="1" x14ac:dyDescent="0.25">
      <c r="A100" s="1114"/>
      <c r="B100" s="1114"/>
      <c r="C100" s="1114"/>
      <c r="D100" s="288">
        <v>4</v>
      </c>
      <c r="E100" s="285"/>
      <c r="F100" s="285"/>
      <c r="G100" s="285"/>
      <c r="H100" s="285"/>
    </row>
    <row r="101" spans="1:8" hidden="1" x14ac:dyDescent="0.25">
      <c r="A101" s="1114"/>
      <c r="B101" s="1114"/>
      <c r="C101" s="1114"/>
      <c r="D101" s="288">
        <v>5</v>
      </c>
      <c r="E101" s="285"/>
      <c r="F101" s="285"/>
      <c r="G101" s="285"/>
      <c r="H101" s="285"/>
    </row>
    <row r="102" spans="1:8" hidden="1" x14ac:dyDescent="0.25">
      <c r="A102" s="1114"/>
      <c r="B102" s="1114"/>
      <c r="C102" s="1114"/>
      <c r="D102" s="288">
        <v>6</v>
      </c>
      <c r="E102" s="285"/>
      <c r="F102" s="285"/>
      <c r="G102" s="285"/>
      <c r="H102" s="285"/>
    </row>
    <row r="103" spans="1:8" hidden="1" x14ac:dyDescent="0.25">
      <c r="A103" s="1114"/>
      <c r="B103" s="1114"/>
      <c r="C103" s="1114"/>
      <c r="D103" s="288">
        <v>7</v>
      </c>
      <c r="E103" s="285"/>
      <c r="F103" s="285"/>
      <c r="G103" s="285"/>
      <c r="H103" s="285"/>
    </row>
    <row r="104" spans="1:8" hidden="1" x14ac:dyDescent="0.25">
      <c r="A104" s="1114"/>
      <c r="B104" s="1114"/>
      <c r="C104" s="1114"/>
      <c r="D104" s="288">
        <v>8</v>
      </c>
      <c r="E104" s="285"/>
      <c r="F104" s="285"/>
      <c r="G104" s="285"/>
      <c r="H104" s="285"/>
    </row>
    <row r="105" spans="1:8" hidden="1" x14ac:dyDescent="0.25">
      <c r="A105" s="1114"/>
      <c r="B105" s="1114"/>
      <c r="C105" s="1114"/>
      <c r="D105" s="288">
        <v>9</v>
      </c>
      <c r="E105" s="285"/>
      <c r="F105" s="285"/>
      <c r="G105" s="285"/>
      <c r="H105" s="285"/>
    </row>
    <row r="106" spans="1:8" hidden="1" x14ac:dyDescent="0.25">
      <c r="A106" s="1114"/>
      <c r="B106" s="1114"/>
      <c r="C106" s="1114"/>
      <c r="D106" s="288">
        <v>10</v>
      </c>
      <c r="E106" s="285"/>
      <c r="F106" s="285"/>
      <c r="G106" s="285"/>
      <c r="H106" s="285"/>
    </row>
    <row r="107" spans="1:8" hidden="1" x14ac:dyDescent="0.25">
      <c r="A107" s="1114"/>
      <c r="B107" s="1114"/>
      <c r="C107" s="1114"/>
      <c r="D107" s="288">
        <v>11</v>
      </c>
      <c r="E107" s="285"/>
      <c r="F107" s="285"/>
      <c r="G107" s="285"/>
      <c r="H107" s="285"/>
    </row>
    <row r="108" spans="1:8" hidden="1" x14ac:dyDescent="0.25">
      <c r="A108" s="1114"/>
      <c r="B108" s="1114"/>
      <c r="C108" s="1114"/>
      <c r="D108" s="288">
        <v>12</v>
      </c>
      <c r="E108" s="285"/>
      <c r="F108" s="285"/>
      <c r="G108" s="285"/>
      <c r="H108" s="285"/>
    </row>
    <row r="110" spans="1:8" x14ac:dyDescent="0.25">
      <c r="A110" s="86" t="s">
        <v>503</v>
      </c>
    </row>
    <row r="112" spans="1:8" x14ac:dyDescent="0.25">
      <c r="A112" s="1092" t="s">
        <v>377</v>
      </c>
      <c r="B112" s="1092"/>
      <c r="C112" s="1092" t="s">
        <v>223</v>
      </c>
    </row>
    <row r="113" spans="1:3" x14ac:dyDescent="0.25">
      <c r="A113" s="1092"/>
      <c r="B113" s="1092"/>
      <c r="C113" s="1092"/>
    </row>
    <row r="114" spans="1:3" x14ac:dyDescent="0.25">
      <c r="A114" s="1113" t="s">
        <v>378</v>
      </c>
      <c r="B114" s="1113"/>
      <c r="C114" s="285"/>
    </row>
    <row r="115" spans="1:3" x14ac:dyDescent="0.25">
      <c r="A115" s="1113" t="s">
        <v>379</v>
      </c>
      <c r="B115" s="1113"/>
      <c r="C115" s="285"/>
    </row>
    <row r="116" spans="1:3" x14ac:dyDescent="0.25">
      <c r="A116" s="1113" t="s">
        <v>380</v>
      </c>
      <c r="B116" s="1113"/>
      <c r="C116" s="285"/>
    </row>
    <row r="117" spans="1:3" x14ac:dyDescent="0.25">
      <c r="A117" s="1113" t="s">
        <v>381</v>
      </c>
      <c r="B117" s="1113"/>
      <c r="C117" s="285"/>
    </row>
    <row r="118" spans="1:3" x14ac:dyDescent="0.25">
      <c r="A118" s="1113" t="s">
        <v>382</v>
      </c>
      <c r="B118" s="1113"/>
      <c r="C118" s="285"/>
    </row>
    <row r="121" spans="1:3" ht="21" customHeight="1" x14ac:dyDescent="0.25"/>
    <row r="124" spans="1:3" x14ac:dyDescent="0.25">
      <c r="A124" s="289"/>
      <c r="B124" s="61"/>
    </row>
    <row r="148" ht="15" customHeight="1" x14ac:dyDescent="0.25"/>
  </sheetData>
  <sheetProtection algorithmName="SHA-512" hashValue="CA9gBkjGOJ0bi+BCxTxoXXP5sIlwVD3zMBU49OKxnUz9Iqs72wgQ65CsbjCk8CpXlIk6NsWXCmRnW2pd6gsupA==" saltValue="Eg4nQLPyWEnZ+E2B53uyLQ==" spinCount="100000" sheet="1" objects="1" scenarios="1"/>
  <mergeCells count="37">
    <mergeCell ref="G31:H31"/>
    <mergeCell ref="A13:B13"/>
    <mergeCell ref="A96:C108"/>
    <mergeCell ref="A83:C95"/>
    <mergeCell ref="A25:B25"/>
    <mergeCell ref="E19:F19"/>
    <mergeCell ref="A19:B20"/>
    <mergeCell ref="D31:D32"/>
    <mergeCell ref="A22:B22"/>
    <mergeCell ref="A23:B23"/>
    <mergeCell ref="A21:B21"/>
    <mergeCell ref="A39:C49"/>
    <mergeCell ref="A118:B118"/>
    <mergeCell ref="C112:C113"/>
    <mergeCell ref="A112:B113"/>
    <mergeCell ref="A114:B114"/>
    <mergeCell ref="A115:B115"/>
    <mergeCell ref="A116:B116"/>
    <mergeCell ref="A117:B117"/>
    <mergeCell ref="A3:K3"/>
    <mergeCell ref="A7:B7"/>
    <mergeCell ref="A8:B8"/>
    <mergeCell ref="A9:B9"/>
    <mergeCell ref="A10:B10"/>
    <mergeCell ref="A12:B12"/>
    <mergeCell ref="A11:B11"/>
    <mergeCell ref="C19:D19"/>
    <mergeCell ref="C5:E5"/>
    <mergeCell ref="A72:C82"/>
    <mergeCell ref="A33:C38"/>
    <mergeCell ref="A24:B24"/>
    <mergeCell ref="A26:B26"/>
    <mergeCell ref="A31:C32"/>
    <mergeCell ref="E31:F31"/>
    <mergeCell ref="A27:B27"/>
    <mergeCell ref="A50:C60"/>
    <mergeCell ref="A61:C71"/>
  </mergeCells>
  <phoneticPr fontId="0" type="noConversion"/>
  <pageMargins left="1.9685039370078741" right="0.51181102362204722" top="0.78740157480314965" bottom="0.78740157480314965" header="0.31496062992125984" footer="0.31496062992125984"/>
  <pageSetup paperSize="9" scale="50" orientation="landscape" r:id="rId1"/>
  <rowBreaks count="1" manualBreakCount="1">
    <brk id="66"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J78"/>
  <sheetViews>
    <sheetView view="pageBreakPreview" zoomScale="70" zoomScaleNormal="40" zoomScaleSheetLayoutView="70" workbookViewId="0"/>
  </sheetViews>
  <sheetFormatPr defaultColWidth="11.42578125" defaultRowHeight="15" zeroHeight="1" x14ac:dyDescent="0.25"/>
  <cols>
    <col min="1" max="1" width="7.42578125" style="14" customWidth="1"/>
    <col min="2" max="2" width="20.85546875" style="11" customWidth="1"/>
    <col min="3" max="3" width="11.42578125" style="11" bestFit="1" customWidth="1"/>
    <col min="4" max="4" width="28" style="14" customWidth="1"/>
    <col min="5" max="5" width="16.7109375" style="60" bestFit="1" customWidth="1"/>
    <col min="6" max="6" width="12" style="11" bestFit="1" customWidth="1"/>
    <col min="7" max="7" width="11.42578125" style="60" customWidth="1"/>
    <col min="8" max="8" width="1" style="60" customWidth="1"/>
    <col min="9" max="9" width="11.42578125" style="60" customWidth="1"/>
    <col min="10" max="10" width="4.5703125" style="60" customWidth="1"/>
    <col min="11" max="11" width="12.85546875" style="60" customWidth="1"/>
    <col min="12" max="12" width="11.42578125" style="60"/>
    <col min="13" max="13" width="27.7109375" style="60" customWidth="1"/>
    <col min="14" max="16384" width="11.42578125" style="60"/>
  </cols>
  <sheetData>
    <row r="1" spans="1:10" x14ac:dyDescent="0.25">
      <c r="B1" s="560" t="s">
        <v>1182</v>
      </c>
    </row>
    <row r="2" spans="1:10" x14ac:dyDescent="0.25"/>
    <row r="3" spans="1:10" x14ac:dyDescent="0.25">
      <c r="A3" s="1057" t="s">
        <v>504</v>
      </c>
      <c r="B3" s="1057"/>
      <c r="C3" s="1057"/>
      <c r="D3" s="1057"/>
      <c r="E3" s="1057"/>
      <c r="F3" s="1057"/>
      <c r="G3" s="1057"/>
      <c r="H3" s="1057"/>
      <c r="I3" s="1057"/>
      <c r="J3" s="1057"/>
    </row>
    <row r="4" spans="1:10" x14ac:dyDescent="0.25"/>
    <row r="5" spans="1:10" x14ac:dyDescent="0.25">
      <c r="A5" s="86" t="s">
        <v>505</v>
      </c>
    </row>
    <row r="6" spans="1:10" x14ac:dyDescent="0.25">
      <c r="A6" s="86"/>
    </row>
    <row r="7" spans="1:10" x14ac:dyDescent="0.25">
      <c r="A7" s="88" t="s">
        <v>521</v>
      </c>
      <c r="B7" s="13" t="s">
        <v>212</v>
      </c>
      <c r="C7" s="13"/>
      <c r="E7" s="121">
        <f>'ANTP_1.1. Passageiros'!B21</f>
        <v>4</v>
      </c>
      <c r="F7" s="11" t="s">
        <v>20</v>
      </c>
    </row>
    <row r="8" spans="1:10" x14ac:dyDescent="0.25">
      <c r="A8" s="88" t="s">
        <v>522</v>
      </c>
      <c r="B8" s="13" t="s">
        <v>18</v>
      </c>
      <c r="C8" s="13"/>
      <c r="E8" s="2">
        <f>SUM('ANTP_1.1. Passageiros'!C54:L54)</f>
        <v>79548</v>
      </c>
      <c r="F8" s="11" t="s">
        <v>152</v>
      </c>
    </row>
    <row r="9" spans="1:10" x14ac:dyDescent="0.25">
      <c r="A9" s="88" t="s">
        <v>523</v>
      </c>
      <c r="B9" s="11" t="s">
        <v>507</v>
      </c>
      <c r="E9" s="15">
        <f>'ANTP_1.1. Passageiros'!D13</f>
        <v>19887</v>
      </c>
      <c r="F9" s="11" t="s">
        <v>722</v>
      </c>
    </row>
    <row r="10" spans="1:10" x14ac:dyDescent="0.25">
      <c r="A10" s="88" t="s">
        <v>524</v>
      </c>
      <c r="B10" s="11" t="s">
        <v>19</v>
      </c>
      <c r="E10" s="15">
        <f>E8/E7</f>
        <v>19887</v>
      </c>
      <c r="F10" s="11" t="s">
        <v>722</v>
      </c>
    </row>
    <row r="11" spans="1:10" x14ac:dyDescent="0.25">
      <c r="A11" s="88" t="s">
        <v>525</v>
      </c>
      <c r="B11" s="11" t="s">
        <v>22</v>
      </c>
      <c r="E11" s="15">
        <f>IF('ANTP_1.2. KM programada'!D9&lt;&gt;"",SUM('ANTP_1.2. KM programada'!Q18:S117),'ANTP_1.2. KM programada'!D12)</f>
        <v>51522</v>
      </c>
      <c r="F11" s="11" t="s">
        <v>721</v>
      </c>
    </row>
    <row r="12" spans="1:10" x14ac:dyDescent="0.25"/>
    <row r="13" spans="1:10" x14ac:dyDescent="0.25">
      <c r="A13" s="88" t="s">
        <v>526</v>
      </c>
      <c r="B13" s="11" t="s">
        <v>802</v>
      </c>
      <c r="E13" s="2">
        <f>E9/E11</f>
        <v>0.38599045068126236</v>
      </c>
      <c r="F13" s="11" t="s">
        <v>41</v>
      </c>
    </row>
    <row r="14" spans="1:10" x14ac:dyDescent="0.25">
      <c r="A14" s="88" t="s">
        <v>527</v>
      </c>
      <c r="B14" s="11" t="s">
        <v>28</v>
      </c>
      <c r="E14" s="2">
        <f>E10/E11</f>
        <v>0.38599045068126236</v>
      </c>
      <c r="F14" s="11" t="s">
        <v>41</v>
      </c>
    </row>
    <row r="15" spans="1:10" x14ac:dyDescent="0.25"/>
    <row r="16" spans="1:10" x14ac:dyDescent="0.25">
      <c r="A16" s="86" t="s">
        <v>508</v>
      </c>
    </row>
    <row r="17" spans="1:6" x14ac:dyDescent="0.25"/>
    <row r="18" spans="1:6" x14ac:dyDescent="0.25">
      <c r="A18" s="88" t="s">
        <v>528</v>
      </c>
      <c r="B18" s="16" t="s">
        <v>511</v>
      </c>
      <c r="E18" s="15">
        <f>SUM('ANTP_1.3 Frota Total'!C21:F27)</f>
        <v>11</v>
      </c>
      <c r="F18" s="11" t="s">
        <v>42</v>
      </c>
    </row>
    <row r="19" spans="1:6" x14ac:dyDescent="0.25">
      <c r="A19" s="88" t="s">
        <v>529</v>
      </c>
      <c r="B19" s="16" t="s">
        <v>509</v>
      </c>
      <c r="C19" s="75">
        <f>Ent_Geral!C18</f>
        <v>0.8</v>
      </c>
      <c r="D19" s="222" t="s">
        <v>43</v>
      </c>
      <c r="E19" s="15">
        <f>ROUND($E$18*C19,0)</f>
        <v>9</v>
      </c>
      <c r="F19" s="11" t="s">
        <v>42</v>
      </c>
    </row>
    <row r="20" spans="1:6" x14ac:dyDescent="0.25">
      <c r="A20" s="88" t="s">
        <v>530</v>
      </c>
      <c r="B20" s="16" t="s">
        <v>510</v>
      </c>
      <c r="C20" s="76">
        <f>Ent_Geral!C19</f>
        <v>0.19999999999999996</v>
      </c>
      <c r="D20" s="222" t="s">
        <v>43</v>
      </c>
      <c r="E20" s="15">
        <f>ROUND($E$18*C20,0)</f>
        <v>2</v>
      </c>
      <c r="F20" s="11" t="s">
        <v>42</v>
      </c>
    </row>
    <row r="21" spans="1:6" x14ac:dyDescent="0.25"/>
    <row r="22" spans="1:6" x14ac:dyDescent="0.25">
      <c r="A22" s="88" t="s">
        <v>531</v>
      </c>
      <c r="B22" s="87" t="s">
        <v>512</v>
      </c>
      <c r="E22" s="15">
        <f>E11/E19</f>
        <v>5724.666666666667</v>
      </c>
      <c r="F22" s="11" t="s">
        <v>513</v>
      </c>
    </row>
    <row r="23" spans="1:6" x14ac:dyDescent="0.25"/>
    <row r="24" spans="1:6" x14ac:dyDescent="0.25">
      <c r="A24" s="86" t="s">
        <v>514</v>
      </c>
    </row>
    <row r="25" spans="1:6" x14ac:dyDescent="0.25"/>
    <row r="26" spans="1:6" x14ac:dyDescent="0.25">
      <c r="A26" s="88" t="s">
        <v>532</v>
      </c>
      <c r="B26" s="60" t="s">
        <v>516</v>
      </c>
      <c r="E26" s="121">
        <v>1</v>
      </c>
      <c r="F26" s="11" t="s">
        <v>517</v>
      </c>
    </row>
    <row r="27" spans="1:6" x14ac:dyDescent="0.25">
      <c r="A27" s="88" t="s">
        <v>533</v>
      </c>
      <c r="B27" s="11" t="s">
        <v>515</v>
      </c>
      <c r="E27" s="15">
        <f>'ANTP_1.1. Passageiros'!D13/('ANTP_1.4 Indicadores'!E19*'ANTP_1.4 Indicadores'!E26)</f>
        <v>2209.6666666666665</v>
      </c>
      <c r="F27" s="11" t="s">
        <v>518</v>
      </c>
    </row>
    <row r="28" spans="1:6" x14ac:dyDescent="0.25"/>
    <row r="29" spans="1:6" x14ac:dyDescent="0.25">
      <c r="A29" s="86" t="s">
        <v>519</v>
      </c>
    </row>
    <row r="30" spans="1:6" x14ac:dyDescent="0.25"/>
    <row r="31" spans="1:6" x14ac:dyDescent="0.25">
      <c r="A31" s="88" t="s">
        <v>534</v>
      </c>
      <c r="B31" s="11" t="s">
        <v>520</v>
      </c>
      <c r="E31" s="15">
        <f>E10/E19</f>
        <v>2209.6666666666665</v>
      </c>
      <c r="F31" s="11" t="s">
        <v>723</v>
      </c>
    </row>
    <row r="32" spans="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6" x14ac:dyDescent="0.25"/>
    <row r="50" spans="1:6" x14ac:dyDescent="0.25"/>
    <row r="51" spans="1:6" x14ac:dyDescent="0.25"/>
    <row r="52" spans="1:6" x14ac:dyDescent="0.25"/>
    <row r="53" spans="1:6" x14ac:dyDescent="0.25"/>
    <row r="54" spans="1:6" x14ac:dyDescent="0.25">
      <c r="A54" s="222"/>
    </row>
    <row r="55" spans="1:6" x14ac:dyDescent="0.25"/>
    <row r="56" spans="1:6" x14ac:dyDescent="0.25">
      <c r="B56" s="60"/>
      <c r="C56" s="60"/>
      <c r="D56" s="60"/>
      <c r="F56" s="60"/>
    </row>
    <row r="57" spans="1:6" x14ac:dyDescent="0.25">
      <c r="B57" s="60"/>
      <c r="C57" s="60"/>
      <c r="D57" s="60"/>
      <c r="F57" s="60"/>
    </row>
    <row r="58" spans="1:6" x14ac:dyDescent="0.25">
      <c r="A58" s="60"/>
      <c r="B58" s="60"/>
      <c r="C58" s="60"/>
      <c r="D58" s="60"/>
      <c r="F58" s="60"/>
    </row>
    <row r="59" spans="1:6" x14ac:dyDescent="0.25">
      <c r="A59" s="60"/>
      <c r="B59" s="60"/>
      <c r="C59" s="60"/>
      <c r="D59" s="60"/>
      <c r="F59" s="60"/>
    </row>
    <row r="60" spans="1:6" x14ac:dyDescent="0.25">
      <c r="A60" s="60"/>
      <c r="B60" s="60"/>
      <c r="C60" s="60"/>
      <c r="D60" s="60"/>
      <c r="F60" s="60"/>
    </row>
    <row r="61" spans="1:6" x14ac:dyDescent="0.25">
      <c r="F61" s="60"/>
    </row>
    <row r="62" spans="1:6" x14ac:dyDescent="0.25">
      <c r="B62" s="60"/>
      <c r="C62" s="60"/>
      <c r="D62" s="60"/>
      <c r="F62" s="60"/>
    </row>
    <row r="63" spans="1:6" x14ac:dyDescent="0.25">
      <c r="B63" s="60"/>
      <c r="C63" s="60"/>
      <c r="D63" s="60"/>
      <c r="F63" s="60"/>
    </row>
    <row r="64" spans="1:6" x14ac:dyDescent="0.25"/>
    <row r="65" spans="7:7" x14ac:dyDescent="0.25"/>
    <row r="66" spans="7:7" x14ac:dyDescent="0.25"/>
    <row r="72" spans="7:7" hidden="1" x14ac:dyDescent="0.25">
      <c r="G72" s="12"/>
    </row>
    <row r="78" spans="7:7" hidden="1" x14ac:dyDescent="0.25">
      <c r="G78" s="12"/>
    </row>
  </sheetData>
  <sheetProtection algorithmName="SHA-512" hashValue="1cgb3SotPYR2YZm8CrpvyGxr3mg9chw9FXbJ6X7ZNrssnIIzNO+sYbpHGViDPnn/+9ALN8oT71zhNh3Gdy6PmA==" saltValue="Pig3qb2hEV4NWbXXFjiP0w==" spinCount="100000" sheet="1" objects="1" scenarios="1"/>
  <mergeCells count="1">
    <mergeCell ref="A3:J3"/>
  </mergeCells>
  <pageMargins left="1.9685039370078741" right="0.51181102362204722"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I79"/>
  <sheetViews>
    <sheetView view="pageBreakPreview" zoomScale="70" zoomScaleNormal="40" zoomScaleSheetLayoutView="70" workbookViewId="0">
      <selection activeCell="C15" sqref="C15"/>
    </sheetView>
  </sheetViews>
  <sheetFormatPr defaultColWidth="11.42578125" defaultRowHeight="15" x14ac:dyDescent="0.25"/>
  <cols>
    <col min="1" max="1" width="6.85546875" style="60" customWidth="1"/>
    <col min="2" max="2" width="36.5703125" style="60" bestFit="1" customWidth="1"/>
    <col min="3" max="3" width="27.85546875" style="60" customWidth="1"/>
    <col min="4" max="6" width="30.7109375" style="60" customWidth="1"/>
    <col min="7" max="8" width="11.42578125" style="60" customWidth="1"/>
    <col min="9" max="9" width="11.28515625" style="60" customWidth="1"/>
    <col min="10" max="10" width="3.28515625" style="60" customWidth="1"/>
    <col min="11" max="16384" width="11.42578125" style="60"/>
  </cols>
  <sheetData>
    <row r="1" spans="1:9" x14ac:dyDescent="0.25">
      <c r="B1" s="560" t="s">
        <v>1182</v>
      </c>
    </row>
    <row r="3" spans="1:9" x14ac:dyDescent="0.25">
      <c r="A3" s="12" t="s">
        <v>535</v>
      </c>
      <c r="B3" s="12"/>
      <c r="C3" s="290" t="s">
        <v>838</v>
      </c>
      <c r="D3" s="12"/>
      <c r="E3" s="12"/>
      <c r="F3" s="12"/>
      <c r="G3" s="12"/>
      <c r="H3" s="12"/>
      <c r="I3" s="12"/>
    </row>
    <row r="5" spans="1:9" x14ac:dyDescent="0.25">
      <c r="A5" s="61" t="s">
        <v>815</v>
      </c>
      <c r="B5" s="66" t="s">
        <v>197</v>
      </c>
      <c r="C5" s="66"/>
      <c r="D5" s="66"/>
      <c r="E5" s="66"/>
    </row>
    <row r="6" spans="1:9" x14ac:dyDescent="0.25">
      <c r="A6" s="6"/>
      <c r="B6" s="291" t="s">
        <v>814</v>
      </c>
      <c r="C6" s="22" t="s">
        <v>879</v>
      </c>
      <c r="D6" s="66" t="s">
        <v>816</v>
      </c>
    </row>
    <row r="7" spans="1:9" x14ac:dyDescent="0.25">
      <c r="A7" s="6"/>
      <c r="B7" s="292" t="s">
        <v>195</v>
      </c>
      <c r="C7" s="22"/>
      <c r="D7" s="66" t="s">
        <v>817</v>
      </c>
    </row>
    <row r="9" spans="1:9" x14ac:dyDescent="0.25">
      <c r="A9" s="61" t="s">
        <v>818</v>
      </c>
    </row>
    <row r="10" spans="1:9" x14ac:dyDescent="0.25">
      <c r="A10" s="1105" t="s">
        <v>8</v>
      </c>
      <c r="B10" s="1106"/>
      <c r="C10" s="1092" t="s">
        <v>6</v>
      </c>
      <c r="D10" s="1092"/>
      <c r="E10" s="1092" t="s">
        <v>7</v>
      </c>
      <c r="F10" s="1092"/>
    </row>
    <row r="11" spans="1:9" x14ac:dyDescent="0.25">
      <c r="A11" s="1108"/>
      <c r="B11" s="1109"/>
      <c r="C11" s="284" t="s">
        <v>9</v>
      </c>
      <c r="D11" s="284" t="s">
        <v>10</v>
      </c>
      <c r="E11" s="284" t="s">
        <v>9</v>
      </c>
      <c r="F11" s="284" t="s">
        <v>10</v>
      </c>
    </row>
    <row r="12" spans="1:9" x14ac:dyDescent="0.25">
      <c r="A12" s="1103" t="s">
        <v>11</v>
      </c>
      <c r="B12" s="1104"/>
      <c r="C12" s="285"/>
      <c r="D12" s="285"/>
      <c r="E12" s="285"/>
      <c r="F12" s="285"/>
    </row>
    <row r="13" spans="1:9" x14ac:dyDescent="0.25">
      <c r="A13" s="1103" t="s">
        <v>12</v>
      </c>
      <c r="B13" s="1104"/>
      <c r="C13" s="293">
        <f>Ent_Geral!C23</f>
        <v>0.32</v>
      </c>
      <c r="D13" s="285"/>
      <c r="E13" s="285"/>
      <c r="F13" s="285"/>
    </row>
    <row r="14" spans="1:9" x14ac:dyDescent="0.25">
      <c r="A14" s="1103" t="s">
        <v>13</v>
      </c>
      <c r="B14" s="1104"/>
      <c r="C14" s="293">
        <f>Ent_Geral!D23</f>
        <v>0.36</v>
      </c>
      <c r="D14" s="285"/>
      <c r="E14" s="285"/>
      <c r="F14" s="285"/>
    </row>
    <row r="15" spans="1:9" x14ac:dyDescent="0.25">
      <c r="A15" s="1103" t="s">
        <v>14</v>
      </c>
      <c r="B15" s="1104"/>
      <c r="C15" s="293">
        <f>Ent_Geral!E23</f>
        <v>0.39</v>
      </c>
      <c r="D15" s="285"/>
      <c r="E15" s="285"/>
      <c r="F15" s="285"/>
    </row>
    <row r="16" spans="1:9" x14ac:dyDescent="0.25">
      <c r="A16" s="1103" t="s">
        <v>15</v>
      </c>
      <c r="B16" s="1104"/>
      <c r="C16" s="285"/>
      <c r="D16" s="285"/>
      <c r="E16" s="285"/>
      <c r="F16" s="285"/>
    </row>
    <row r="17" spans="1:6" x14ac:dyDescent="0.25">
      <c r="A17" s="1103" t="s">
        <v>16</v>
      </c>
      <c r="B17" s="1104"/>
      <c r="C17" s="285"/>
      <c r="D17" s="285"/>
      <c r="E17" s="285"/>
      <c r="F17" s="285"/>
    </row>
    <row r="18" spans="1:6" x14ac:dyDescent="0.25">
      <c r="A18" s="1103" t="s">
        <v>17</v>
      </c>
      <c r="B18" s="1104"/>
      <c r="C18" s="285"/>
      <c r="D18" s="285"/>
      <c r="E18" s="285"/>
      <c r="F18" s="285"/>
    </row>
    <row r="20" spans="1:6" x14ac:dyDescent="0.25">
      <c r="A20" s="61" t="s">
        <v>821</v>
      </c>
    </row>
    <row r="21" spans="1:6" x14ac:dyDescent="0.25">
      <c r="A21" s="1105" t="s">
        <v>8</v>
      </c>
      <c r="B21" s="1106"/>
      <c r="C21" s="1092" t="s">
        <v>6</v>
      </c>
      <c r="D21" s="1092"/>
      <c r="E21" s="1092" t="s">
        <v>7</v>
      </c>
      <c r="F21" s="1092"/>
    </row>
    <row r="22" spans="1:6" x14ac:dyDescent="0.25">
      <c r="A22" s="1108"/>
      <c r="B22" s="1109"/>
      <c r="C22" s="284" t="s">
        <v>9</v>
      </c>
      <c r="D22" s="284" t="s">
        <v>10</v>
      </c>
      <c r="E22" s="284" t="s">
        <v>9</v>
      </c>
      <c r="F22" s="284" t="s">
        <v>10</v>
      </c>
    </row>
    <row r="23" spans="1:6" ht="15" customHeight="1" x14ac:dyDescent="0.25">
      <c r="A23" s="1103" t="s">
        <v>11</v>
      </c>
      <c r="B23" s="1104"/>
      <c r="C23" s="285"/>
      <c r="D23" s="285"/>
      <c r="E23" s="285"/>
      <c r="F23" s="285"/>
    </row>
    <row r="24" spans="1:6" x14ac:dyDescent="0.25">
      <c r="A24" s="1103" t="s">
        <v>12</v>
      </c>
      <c r="B24" s="1104"/>
      <c r="C24" s="285"/>
      <c r="D24" s="285"/>
      <c r="E24" s="285"/>
      <c r="F24" s="285"/>
    </row>
    <row r="25" spans="1:6" x14ac:dyDescent="0.25">
      <c r="A25" s="1103" t="s">
        <v>13</v>
      </c>
      <c r="B25" s="1104"/>
      <c r="C25" s="285"/>
      <c r="D25" s="285"/>
      <c r="E25" s="285"/>
      <c r="F25" s="285"/>
    </row>
    <row r="26" spans="1:6" x14ac:dyDescent="0.25">
      <c r="A26" s="1103" t="s">
        <v>14</v>
      </c>
      <c r="B26" s="1104"/>
      <c r="C26" s="285"/>
      <c r="D26" s="285"/>
      <c r="E26" s="285"/>
      <c r="F26" s="285"/>
    </row>
    <row r="27" spans="1:6" x14ac:dyDescent="0.25">
      <c r="A27" s="1103" t="s">
        <v>15</v>
      </c>
      <c r="B27" s="1104"/>
      <c r="C27" s="285"/>
      <c r="D27" s="285"/>
      <c r="E27" s="285"/>
      <c r="F27" s="285"/>
    </row>
    <row r="28" spans="1:6" x14ac:dyDescent="0.25">
      <c r="A28" s="1103" t="s">
        <v>16</v>
      </c>
      <c r="B28" s="1104"/>
      <c r="C28" s="285"/>
      <c r="D28" s="285"/>
      <c r="E28" s="285"/>
      <c r="F28" s="285"/>
    </row>
    <row r="29" spans="1:6" x14ac:dyDescent="0.25">
      <c r="A29" s="1103" t="s">
        <v>17</v>
      </c>
      <c r="B29" s="1104"/>
      <c r="C29" s="285"/>
      <c r="D29" s="285"/>
      <c r="E29" s="285"/>
      <c r="F29" s="285"/>
    </row>
    <row r="31" spans="1:6" x14ac:dyDescent="0.25">
      <c r="A31" s="61" t="s">
        <v>822</v>
      </c>
    </row>
    <row r="32" spans="1:6" x14ac:dyDescent="0.25">
      <c r="A32" s="1105" t="s">
        <v>8</v>
      </c>
      <c r="B32" s="1106"/>
      <c r="C32" s="1092" t="s">
        <v>6</v>
      </c>
      <c r="D32" s="1092"/>
      <c r="E32" s="1092" t="s">
        <v>7</v>
      </c>
      <c r="F32" s="1092"/>
    </row>
    <row r="33" spans="1:6" x14ac:dyDescent="0.25">
      <c r="A33" s="1108"/>
      <c r="B33" s="1109"/>
      <c r="C33" s="284" t="s">
        <v>9</v>
      </c>
      <c r="D33" s="284" t="s">
        <v>10</v>
      </c>
      <c r="E33" s="284" t="s">
        <v>9</v>
      </c>
      <c r="F33" s="284" t="s">
        <v>10</v>
      </c>
    </row>
    <row r="34" spans="1:6" ht="15" customHeight="1" x14ac:dyDescent="0.25">
      <c r="A34" s="1103" t="s">
        <v>11</v>
      </c>
      <c r="B34" s="1104"/>
      <c r="C34" s="285"/>
      <c r="D34" s="285"/>
      <c r="E34" s="285"/>
      <c r="F34" s="285"/>
    </row>
    <row r="35" spans="1:6" x14ac:dyDescent="0.25">
      <c r="A35" s="1103" t="s">
        <v>12</v>
      </c>
      <c r="B35" s="1104"/>
      <c r="C35" s="285"/>
      <c r="D35" s="285"/>
      <c r="E35" s="285"/>
      <c r="F35" s="285"/>
    </row>
    <row r="36" spans="1:6" x14ac:dyDescent="0.25">
      <c r="A36" s="1103" t="s">
        <v>13</v>
      </c>
      <c r="B36" s="1104"/>
      <c r="C36" s="285"/>
      <c r="D36" s="285"/>
      <c r="E36" s="285"/>
      <c r="F36" s="285"/>
    </row>
    <row r="37" spans="1:6" x14ac:dyDescent="0.25">
      <c r="A37" s="1103" t="s">
        <v>14</v>
      </c>
      <c r="B37" s="1104"/>
      <c r="C37" s="285"/>
      <c r="D37" s="285"/>
      <c r="E37" s="285"/>
      <c r="F37" s="285"/>
    </row>
    <row r="38" spans="1:6" x14ac:dyDescent="0.25">
      <c r="A38" s="1103" t="s">
        <v>15</v>
      </c>
      <c r="B38" s="1104"/>
      <c r="C38" s="285"/>
      <c r="D38" s="285"/>
      <c r="E38" s="285"/>
      <c r="F38" s="285"/>
    </row>
    <row r="39" spans="1:6" x14ac:dyDescent="0.25">
      <c r="A39" s="1103" t="s">
        <v>16</v>
      </c>
      <c r="B39" s="1104"/>
      <c r="C39" s="285"/>
      <c r="D39" s="285"/>
      <c r="E39" s="285"/>
      <c r="F39" s="285"/>
    </row>
    <row r="40" spans="1:6" x14ac:dyDescent="0.25">
      <c r="A40" s="1103" t="s">
        <v>17</v>
      </c>
      <c r="B40" s="1104"/>
      <c r="C40" s="285"/>
      <c r="D40" s="285"/>
      <c r="E40" s="285"/>
      <c r="F40" s="285"/>
    </row>
    <row r="42" spans="1:6" x14ac:dyDescent="0.25">
      <c r="A42" s="61" t="s">
        <v>823</v>
      </c>
    </row>
    <row r="43" spans="1:6" x14ac:dyDescent="0.25">
      <c r="A43" s="1117" t="s">
        <v>8</v>
      </c>
      <c r="B43" s="1118"/>
      <c r="C43" s="1121" t="s">
        <v>6</v>
      </c>
      <c r="D43" s="1121"/>
      <c r="E43" s="1121" t="s">
        <v>7</v>
      </c>
      <c r="F43" s="1121"/>
    </row>
    <row r="44" spans="1:6" x14ac:dyDescent="0.25">
      <c r="A44" s="1119"/>
      <c r="B44" s="1120"/>
      <c r="C44" s="294" t="s">
        <v>9</v>
      </c>
      <c r="D44" s="294" t="s">
        <v>10</v>
      </c>
      <c r="E44" s="294" t="s">
        <v>9</v>
      </c>
      <c r="F44" s="294" t="s">
        <v>10</v>
      </c>
    </row>
    <row r="45" spans="1:6" ht="15" customHeight="1" x14ac:dyDescent="0.25">
      <c r="A45" s="1122" t="s">
        <v>11</v>
      </c>
      <c r="B45" s="1123"/>
      <c r="C45" s="295" t="str">
        <f>IFERROR(C23/C34,"")</f>
        <v/>
      </c>
      <c r="D45" s="295" t="str">
        <f>IFERROR(D23/D34,"")</f>
        <v/>
      </c>
      <c r="E45" s="295" t="str">
        <f>IFERROR(E23/E34,"")</f>
        <v/>
      </c>
      <c r="F45" s="295" t="str">
        <f>IFERROR(F23/F34,"")</f>
        <v/>
      </c>
    </row>
    <row r="46" spans="1:6" x14ac:dyDescent="0.25">
      <c r="A46" s="1122" t="s">
        <v>12</v>
      </c>
      <c r="B46" s="1123"/>
      <c r="C46" s="295" t="str">
        <f>IFERROR(C24/C35,"")</f>
        <v/>
      </c>
      <c r="D46" s="295" t="str">
        <f t="shared" ref="C46:F51" si="0">IFERROR(D24/D35,"")</f>
        <v/>
      </c>
      <c r="E46" s="295" t="str">
        <f t="shared" si="0"/>
        <v/>
      </c>
      <c r="F46" s="295" t="str">
        <f t="shared" si="0"/>
        <v/>
      </c>
    </row>
    <row r="47" spans="1:6" x14ac:dyDescent="0.25">
      <c r="A47" s="1122" t="s">
        <v>13</v>
      </c>
      <c r="B47" s="1123"/>
      <c r="C47" s="295" t="str">
        <f t="shared" si="0"/>
        <v/>
      </c>
      <c r="D47" s="295" t="str">
        <f t="shared" si="0"/>
        <v/>
      </c>
      <c r="E47" s="295" t="str">
        <f t="shared" si="0"/>
        <v/>
      </c>
      <c r="F47" s="295" t="str">
        <f t="shared" si="0"/>
        <v/>
      </c>
    </row>
    <row r="48" spans="1:6" x14ac:dyDescent="0.25">
      <c r="A48" s="1122" t="s">
        <v>14</v>
      </c>
      <c r="B48" s="1123"/>
      <c r="C48" s="295" t="str">
        <f>IFERROR(C26/C37,"")</f>
        <v/>
      </c>
      <c r="D48" s="295" t="str">
        <f t="shared" si="0"/>
        <v/>
      </c>
      <c r="E48" s="295" t="str">
        <f t="shared" si="0"/>
        <v/>
      </c>
      <c r="F48" s="295" t="str">
        <f t="shared" si="0"/>
        <v/>
      </c>
    </row>
    <row r="49" spans="1:6" x14ac:dyDescent="0.25">
      <c r="A49" s="1122" t="s">
        <v>15</v>
      </c>
      <c r="B49" s="1123"/>
      <c r="C49" s="295" t="str">
        <f t="shared" si="0"/>
        <v/>
      </c>
      <c r="D49" s="295" t="str">
        <f t="shared" si="0"/>
        <v/>
      </c>
      <c r="E49" s="295" t="str">
        <f t="shared" si="0"/>
        <v/>
      </c>
      <c r="F49" s="295" t="str">
        <f t="shared" si="0"/>
        <v/>
      </c>
    </row>
    <row r="50" spans="1:6" x14ac:dyDescent="0.25">
      <c r="A50" s="1122" t="s">
        <v>16</v>
      </c>
      <c r="B50" s="1123"/>
      <c r="C50" s="295" t="str">
        <f t="shared" si="0"/>
        <v/>
      </c>
      <c r="D50" s="295" t="str">
        <f t="shared" si="0"/>
        <v/>
      </c>
      <c r="E50" s="295" t="str">
        <f t="shared" si="0"/>
        <v/>
      </c>
      <c r="F50" s="295" t="str">
        <f t="shared" si="0"/>
        <v/>
      </c>
    </row>
    <row r="51" spans="1:6" x14ac:dyDescent="0.25">
      <c r="A51" s="1122" t="s">
        <v>17</v>
      </c>
      <c r="B51" s="1123"/>
      <c r="C51" s="295" t="str">
        <f t="shared" si="0"/>
        <v/>
      </c>
      <c r="D51" s="295" t="str">
        <f t="shared" si="0"/>
        <v/>
      </c>
      <c r="E51" s="295" t="str">
        <f t="shared" si="0"/>
        <v/>
      </c>
      <c r="F51" s="295" t="str">
        <f t="shared" si="0"/>
        <v/>
      </c>
    </row>
    <row r="53" spans="1:6" x14ac:dyDescent="0.25">
      <c r="A53" s="296" t="s">
        <v>819</v>
      </c>
      <c r="B53" s="297" t="s">
        <v>751</v>
      </c>
      <c r="E53" s="290" t="s">
        <v>752</v>
      </c>
    </row>
    <row r="54" spans="1:6" x14ac:dyDescent="0.25">
      <c r="A54" s="1105" t="s">
        <v>8</v>
      </c>
      <c r="B54" s="1106"/>
      <c r="C54" s="1092" t="s">
        <v>6</v>
      </c>
      <c r="D54" s="1092"/>
      <c r="E54" s="1092" t="s">
        <v>7</v>
      </c>
      <c r="F54" s="1092"/>
    </row>
    <row r="55" spans="1:6" x14ac:dyDescent="0.25">
      <c r="A55" s="1108"/>
      <c r="B55" s="1109"/>
      <c r="C55" s="284" t="s">
        <v>9</v>
      </c>
      <c r="D55" s="284" t="s">
        <v>10</v>
      </c>
      <c r="E55" s="284" t="s">
        <v>9</v>
      </c>
      <c r="F55" s="284" t="s">
        <v>10</v>
      </c>
    </row>
    <row r="56" spans="1:6" x14ac:dyDescent="0.25">
      <c r="A56" s="1103" t="s">
        <v>11</v>
      </c>
      <c r="B56" s="1104"/>
      <c r="C56" s="285"/>
      <c r="D56" s="285"/>
      <c r="E56" s="285"/>
      <c r="F56" s="285"/>
    </row>
    <row r="57" spans="1:6" x14ac:dyDescent="0.25">
      <c r="A57" s="1103" t="s">
        <v>12</v>
      </c>
      <c r="B57" s="1104"/>
      <c r="C57" s="285">
        <f>'ANTP_1.4 Indicadores'!$E$11/'ANTP_1.4 Indicadores'!$E$18*'ANTP_1.3 Frota Total'!C22</f>
        <v>0</v>
      </c>
      <c r="D57" s="285"/>
      <c r="E57" s="285"/>
      <c r="F57" s="285"/>
    </row>
    <row r="58" spans="1:6" x14ac:dyDescent="0.25">
      <c r="A58" s="1103" t="s">
        <v>13</v>
      </c>
      <c r="B58" s="1104"/>
      <c r="C58" s="285">
        <f>'ANTP_1.4 Indicadores'!$E$11/'ANTP_1.4 Indicadores'!$E$18*'ANTP_1.3 Frota Total'!C23</f>
        <v>0</v>
      </c>
      <c r="D58" s="285"/>
      <c r="E58" s="285"/>
      <c r="F58" s="285"/>
    </row>
    <row r="59" spans="1:6" x14ac:dyDescent="0.25">
      <c r="A59" s="1103" t="s">
        <v>14</v>
      </c>
      <c r="B59" s="1104"/>
      <c r="C59" s="285">
        <f>'ANTP_1.4 Indicadores'!$E$11/'ANTP_1.4 Indicadores'!$E$18*'ANTP_1.3 Frota Total'!C24</f>
        <v>51522</v>
      </c>
      <c r="D59" s="285"/>
      <c r="E59" s="285"/>
      <c r="F59" s="285"/>
    </row>
    <row r="60" spans="1:6" x14ac:dyDescent="0.25">
      <c r="A60" s="1103" t="s">
        <v>15</v>
      </c>
      <c r="B60" s="1104"/>
      <c r="C60" s="285"/>
      <c r="D60" s="285"/>
      <c r="E60" s="285"/>
      <c r="F60" s="285"/>
    </row>
    <row r="61" spans="1:6" x14ac:dyDescent="0.25">
      <c r="A61" s="1103" t="s">
        <v>16</v>
      </c>
      <c r="B61" s="1104"/>
      <c r="C61" s="285"/>
      <c r="D61" s="285"/>
      <c r="E61" s="285"/>
      <c r="F61" s="285"/>
    </row>
    <row r="62" spans="1:6" x14ac:dyDescent="0.25">
      <c r="A62" s="1103" t="s">
        <v>17</v>
      </c>
      <c r="B62" s="1104"/>
      <c r="C62" s="285"/>
      <c r="D62" s="285"/>
      <c r="E62" s="285"/>
      <c r="F62" s="285"/>
    </row>
    <row r="64" spans="1:6" x14ac:dyDescent="0.25">
      <c r="A64" s="61" t="s">
        <v>820</v>
      </c>
    </row>
    <row r="65" spans="1:6" x14ac:dyDescent="0.25">
      <c r="A65" s="1117" t="s">
        <v>8</v>
      </c>
      <c r="B65" s="1118"/>
      <c r="C65" s="1121" t="s">
        <v>6</v>
      </c>
      <c r="D65" s="1121"/>
      <c r="E65" s="1121" t="s">
        <v>7</v>
      </c>
      <c r="F65" s="1121"/>
    </row>
    <row r="66" spans="1:6" x14ac:dyDescent="0.25">
      <c r="A66" s="1119"/>
      <c r="B66" s="1120"/>
      <c r="C66" s="294" t="s">
        <v>9</v>
      </c>
      <c r="D66" s="294" t="s">
        <v>10</v>
      </c>
      <c r="E66" s="294" t="s">
        <v>9</v>
      </c>
      <c r="F66" s="294" t="s">
        <v>10</v>
      </c>
    </row>
    <row r="67" spans="1:6" ht="15" customHeight="1" x14ac:dyDescent="0.25">
      <c r="A67" s="1122" t="s">
        <v>11</v>
      </c>
      <c r="B67" s="1123"/>
      <c r="C67" s="298">
        <f>IFERROR(IF($C$6&lt;&gt;0,C12*C56,C45*C56),"")</f>
        <v>0</v>
      </c>
      <c r="D67" s="298">
        <f>IFERROR(IF($C$6&lt;&gt;0,D12*D56,D45*D56),"")</f>
        <v>0</v>
      </c>
      <c r="E67" s="298">
        <f>IFERROR(IF($C$6&lt;&gt;0,E12*E56,E45*E56),"")</f>
        <v>0</v>
      </c>
      <c r="F67" s="298">
        <f>IFERROR(IF($C$6&lt;&gt;0,F12*F56,F45*F56),"")</f>
        <v>0</v>
      </c>
    </row>
    <row r="68" spans="1:6" x14ac:dyDescent="0.25">
      <c r="A68" s="1122" t="s">
        <v>12</v>
      </c>
      <c r="B68" s="1123"/>
      <c r="C68" s="298">
        <f t="shared" ref="C68:F73" si="1">IFERROR(IF($C$6&lt;&gt;0,C13*C57,C46*C57),"")</f>
        <v>0</v>
      </c>
      <c r="D68" s="298">
        <f t="shared" si="1"/>
        <v>0</v>
      </c>
      <c r="E68" s="298">
        <f t="shared" si="1"/>
        <v>0</v>
      </c>
      <c r="F68" s="298">
        <f t="shared" si="1"/>
        <v>0</v>
      </c>
    </row>
    <row r="69" spans="1:6" x14ac:dyDescent="0.25">
      <c r="A69" s="1122" t="s">
        <v>13</v>
      </c>
      <c r="B69" s="1123"/>
      <c r="C69" s="298">
        <f t="shared" si="1"/>
        <v>0</v>
      </c>
      <c r="D69" s="298">
        <f t="shared" si="1"/>
        <v>0</v>
      </c>
      <c r="E69" s="298">
        <f t="shared" si="1"/>
        <v>0</v>
      </c>
      <c r="F69" s="298">
        <f t="shared" si="1"/>
        <v>0</v>
      </c>
    </row>
    <row r="70" spans="1:6" x14ac:dyDescent="0.25">
      <c r="A70" s="1122" t="s">
        <v>14</v>
      </c>
      <c r="B70" s="1123"/>
      <c r="C70" s="298">
        <f t="shared" si="1"/>
        <v>20093.580000000002</v>
      </c>
      <c r="D70" s="298">
        <f t="shared" si="1"/>
        <v>0</v>
      </c>
      <c r="E70" s="298">
        <f t="shared" si="1"/>
        <v>0</v>
      </c>
      <c r="F70" s="298">
        <f t="shared" si="1"/>
        <v>0</v>
      </c>
    </row>
    <row r="71" spans="1:6" x14ac:dyDescent="0.25">
      <c r="A71" s="1122" t="s">
        <v>15</v>
      </c>
      <c r="B71" s="1123"/>
      <c r="C71" s="298">
        <f t="shared" si="1"/>
        <v>0</v>
      </c>
      <c r="D71" s="298">
        <f t="shared" si="1"/>
        <v>0</v>
      </c>
      <c r="E71" s="298">
        <f t="shared" si="1"/>
        <v>0</v>
      </c>
      <c r="F71" s="298">
        <f t="shared" si="1"/>
        <v>0</v>
      </c>
    </row>
    <row r="72" spans="1:6" x14ac:dyDescent="0.25">
      <c r="A72" s="1122" t="s">
        <v>16</v>
      </c>
      <c r="B72" s="1123"/>
      <c r="C72" s="298">
        <f t="shared" si="1"/>
        <v>0</v>
      </c>
      <c r="D72" s="298">
        <f t="shared" si="1"/>
        <v>0</v>
      </c>
      <c r="E72" s="298">
        <f t="shared" si="1"/>
        <v>0</v>
      </c>
      <c r="F72" s="298">
        <f t="shared" si="1"/>
        <v>0</v>
      </c>
    </row>
    <row r="73" spans="1:6" x14ac:dyDescent="0.25">
      <c r="A73" s="1122" t="s">
        <v>17</v>
      </c>
      <c r="B73" s="1123"/>
      <c r="C73" s="298">
        <f t="shared" si="1"/>
        <v>0</v>
      </c>
      <c r="D73" s="298">
        <f t="shared" si="1"/>
        <v>0</v>
      </c>
      <c r="E73" s="298">
        <f t="shared" si="1"/>
        <v>0</v>
      </c>
      <c r="F73" s="298">
        <f>IFERROR(IF($C$6&lt;&gt;0,F18*F62,F51*F62),"")</f>
        <v>0</v>
      </c>
    </row>
    <row r="75" spans="1:6" ht="21" x14ac:dyDescent="0.25">
      <c r="A75" s="289"/>
      <c r="B75" s="299" t="s">
        <v>77</v>
      </c>
      <c r="C75" s="300">
        <f>SUM(C67:F73)</f>
        <v>20093.580000000002</v>
      </c>
      <c r="D75" s="301" t="s">
        <v>50</v>
      </c>
    </row>
    <row r="79" spans="1:6" x14ac:dyDescent="0.25">
      <c r="D79" s="236"/>
    </row>
  </sheetData>
  <sheetProtection algorithmName="SHA-512" hashValue="lw5C590k9NZMtguKl6hctPS2XwkNa+8AeXwpz4I+xI9Skduah436bGXz5wzJxuzGMKLOx8Qj8PjIi7YJcC/E9Q==" saltValue="Sy35YpO1iW3f1sjPsGssTQ==" spinCount="100000" sheet="1" objects="1" scenarios="1"/>
  <mergeCells count="60">
    <mergeCell ref="E32:F32"/>
    <mergeCell ref="A48:B48"/>
    <mergeCell ref="A39:B39"/>
    <mergeCell ref="A40:B40"/>
    <mergeCell ref="A43:B44"/>
    <mergeCell ref="C43:D43"/>
    <mergeCell ref="A73:B73"/>
    <mergeCell ref="A67:B67"/>
    <mergeCell ref="A68:B68"/>
    <mergeCell ref="A69:B69"/>
    <mergeCell ref="A70:B70"/>
    <mergeCell ref="A71:B71"/>
    <mergeCell ref="A72:B72"/>
    <mergeCell ref="E21:F21"/>
    <mergeCell ref="C32:D32"/>
    <mergeCell ref="A49:B49"/>
    <mergeCell ref="A29:B29"/>
    <mergeCell ref="A58:B58"/>
    <mergeCell ref="A57:B57"/>
    <mergeCell ref="A51:B51"/>
    <mergeCell ref="E43:F43"/>
    <mergeCell ref="A46:B46"/>
    <mergeCell ref="A47:B47"/>
    <mergeCell ref="A50:B50"/>
    <mergeCell ref="A26:B26"/>
    <mergeCell ref="A27:B27"/>
    <mergeCell ref="A35:B35"/>
    <mergeCell ref="A36:B36"/>
    <mergeCell ref="A32:B33"/>
    <mergeCell ref="A24:B24"/>
    <mergeCell ref="A25:B25"/>
    <mergeCell ref="A62:B62"/>
    <mergeCell ref="A21:B22"/>
    <mergeCell ref="C21:D21"/>
    <mergeCell ref="A59:B59"/>
    <mergeCell ref="A60:B60"/>
    <mergeCell ref="A28:B28"/>
    <mergeCell ref="A65:B66"/>
    <mergeCell ref="C65:D65"/>
    <mergeCell ref="E65:F65"/>
    <mergeCell ref="A34:B34"/>
    <mergeCell ref="A37:B37"/>
    <mergeCell ref="A45:B45"/>
    <mergeCell ref="A38:B38"/>
    <mergeCell ref="A10:B11"/>
    <mergeCell ref="C10:D10"/>
    <mergeCell ref="E10:F10"/>
    <mergeCell ref="A12:B12"/>
    <mergeCell ref="A61:B61"/>
    <mergeCell ref="A56:B56"/>
    <mergeCell ref="A54:B55"/>
    <mergeCell ref="C54:D54"/>
    <mergeCell ref="E54:F54"/>
    <mergeCell ref="A13:B13"/>
    <mergeCell ref="A14:B14"/>
    <mergeCell ref="A15:B15"/>
    <mergeCell ref="A16:B16"/>
    <mergeCell ref="A17:B17"/>
    <mergeCell ref="A18:B18"/>
    <mergeCell ref="A23:B23"/>
  </mergeCells>
  <pageMargins left="1.9685039370078741" right="0.51181102362204722" top="0.78740157480314965" bottom="0.39370078740157483" header="0.31496062992125984" footer="0.31496062992125984"/>
  <pageSetup paperSize="9" scale="72" fitToHeight="2" orientation="landscape" r:id="rId1"/>
  <rowBreaks count="1" manualBreakCount="1">
    <brk id="41"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G60"/>
  <sheetViews>
    <sheetView view="pageBreakPreview" zoomScale="85" zoomScaleNormal="40" zoomScaleSheetLayoutView="85" workbookViewId="0">
      <selection activeCell="D10" sqref="D10"/>
    </sheetView>
  </sheetViews>
  <sheetFormatPr defaultColWidth="0" defaultRowHeight="15" x14ac:dyDescent="0.25"/>
  <cols>
    <col min="1" max="1" width="7.28515625" style="60" customWidth="1"/>
    <col min="2" max="2" width="38.140625" style="60" customWidth="1"/>
    <col min="3" max="3" width="10" style="60" customWidth="1"/>
    <col min="4" max="4" width="35" style="60" customWidth="1"/>
    <col min="5" max="7" width="30.7109375" style="60" customWidth="1"/>
    <col min="8" max="8" width="5.140625" style="60" customWidth="1"/>
    <col min="9" max="16384" width="0" style="60" hidden="1"/>
  </cols>
  <sheetData>
    <row r="1" spans="1:7" x14ac:dyDescent="0.25">
      <c r="B1" s="560" t="s">
        <v>1182</v>
      </c>
    </row>
    <row r="3" spans="1:7" x14ac:dyDescent="0.25">
      <c r="A3" s="12" t="s">
        <v>724</v>
      </c>
      <c r="B3" s="12"/>
    </row>
    <row r="5" spans="1:7" x14ac:dyDescent="0.25">
      <c r="A5" s="61" t="s">
        <v>536</v>
      </c>
      <c r="B5" s="61" t="s">
        <v>208</v>
      </c>
    </row>
    <row r="6" spans="1:7" x14ac:dyDescent="0.25">
      <c r="A6" s="1105" t="s">
        <v>8</v>
      </c>
      <c r="B6" s="1106"/>
      <c r="C6" s="1107"/>
      <c r="D6" s="1111" t="s">
        <v>6</v>
      </c>
      <c r="E6" s="1112"/>
      <c r="F6" s="1111" t="s">
        <v>7</v>
      </c>
      <c r="G6" s="1112"/>
    </row>
    <row r="7" spans="1:7" x14ac:dyDescent="0.25">
      <c r="A7" s="1108"/>
      <c r="B7" s="1109"/>
      <c r="C7" s="1110"/>
      <c r="D7" s="284" t="s">
        <v>9</v>
      </c>
      <c r="E7" s="284" t="s">
        <v>10</v>
      </c>
      <c r="F7" s="284" t="s">
        <v>9</v>
      </c>
      <c r="G7" s="284" t="s">
        <v>10</v>
      </c>
    </row>
    <row r="8" spans="1:7" ht="15" customHeight="1" x14ac:dyDescent="0.25">
      <c r="A8" s="1103" t="s">
        <v>11</v>
      </c>
      <c r="B8" s="1104"/>
      <c r="C8" s="1127"/>
      <c r="D8" s="302"/>
      <c r="E8" s="302"/>
      <c r="F8" s="302"/>
      <c r="G8" s="302"/>
    </row>
    <row r="9" spans="1:7" x14ac:dyDescent="0.25">
      <c r="A9" s="1103" t="s">
        <v>12</v>
      </c>
      <c r="B9" s="1104"/>
      <c r="C9" s="1127"/>
      <c r="D9" s="302">
        <f>Ent_Geral!C24</f>
        <v>525500</v>
      </c>
      <c r="E9" s="302"/>
      <c r="F9" s="302"/>
      <c r="G9" s="302"/>
    </row>
    <row r="10" spans="1:7" x14ac:dyDescent="0.25">
      <c r="A10" s="1103" t="s">
        <v>13</v>
      </c>
      <c r="B10" s="1104"/>
      <c r="C10" s="1127"/>
      <c r="D10" s="302">
        <f>Ent_Geral!D24</f>
        <v>703800</v>
      </c>
      <c r="E10" s="302"/>
      <c r="F10" s="302"/>
      <c r="G10" s="302"/>
    </row>
    <row r="11" spans="1:7" x14ac:dyDescent="0.25">
      <c r="A11" s="1103" t="s">
        <v>14</v>
      </c>
      <c r="B11" s="1104"/>
      <c r="C11" s="1127"/>
      <c r="D11" s="302">
        <f>Ent_Geral!E24</f>
        <v>743200</v>
      </c>
      <c r="E11" s="302"/>
      <c r="F11" s="302"/>
      <c r="G11" s="302"/>
    </row>
    <row r="12" spans="1:7" x14ac:dyDescent="0.25">
      <c r="A12" s="1103" t="s">
        <v>15</v>
      </c>
      <c r="B12" s="1104"/>
      <c r="C12" s="1127"/>
      <c r="D12" s="302"/>
      <c r="E12" s="302"/>
      <c r="F12" s="302"/>
      <c r="G12" s="302"/>
    </row>
    <row r="13" spans="1:7" x14ac:dyDescent="0.25">
      <c r="A13" s="1103" t="s">
        <v>16</v>
      </c>
      <c r="B13" s="1104"/>
      <c r="C13" s="1127"/>
      <c r="D13" s="302"/>
      <c r="E13" s="302"/>
      <c r="F13" s="302"/>
      <c r="G13" s="302"/>
    </row>
    <row r="14" spans="1:7" x14ac:dyDescent="0.25">
      <c r="A14" s="1103" t="s">
        <v>17</v>
      </c>
      <c r="B14" s="1104"/>
      <c r="C14" s="1127"/>
      <c r="D14" s="302"/>
      <c r="E14" s="302"/>
      <c r="F14" s="302"/>
      <c r="G14" s="302"/>
    </row>
    <row r="15" spans="1:7" x14ac:dyDescent="0.25">
      <c r="A15" s="61"/>
      <c r="B15" s="61"/>
    </row>
    <row r="16" spans="1:7" x14ac:dyDescent="0.25">
      <c r="A16" s="289" t="s">
        <v>537</v>
      </c>
      <c r="B16" s="61" t="s">
        <v>391</v>
      </c>
    </row>
    <row r="17" spans="1:7" x14ac:dyDescent="0.25">
      <c r="A17" s="1092" t="s">
        <v>377</v>
      </c>
      <c r="B17" s="1092"/>
      <c r="C17" s="1092"/>
      <c r="D17" s="1092" t="s">
        <v>383</v>
      </c>
    </row>
    <row r="18" spans="1:7" x14ac:dyDescent="0.25">
      <c r="A18" s="1092"/>
      <c r="B18" s="1092"/>
      <c r="C18" s="1092"/>
      <c r="D18" s="1092"/>
    </row>
    <row r="19" spans="1:7" x14ac:dyDescent="0.25">
      <c r="A19" s="1113" t="s">
        <v>378</v>
      </c>
      <c r="B19" s="1113"/>
      <c r="C19" s="1113"/>
      <c r="D19" s="303"/>
    </row>
    <row r="20" spans="1:7" x14ac:dyDescent="0.25">
      <c r="A20" s="1113" t="s">
        <v>379</v>
      </c>
      <c r="B20" s="1113"/>
      <c r="C20" s="1113"/>
      <c r="D20" s="303"/>
    </row>
    <row r="21" spans="1:7" x14ac:dyDescent="0.25">
      <c r="A21" s="1113" t="s">
        <v>380</v>
      </c>
      <c r="B21" s="1113"/>
      <c r="C21" s="1113"/>
      <c r="D21" s="303"/>
    </row>
    <row r="22" spans="1:7" x14ac:dyDescent="0.25">
      <c r="A22" s="1113" t="s">
        <v>381</v>
      </c>
      <c r="B22" s="1113"/>
      <c r="C22" s="1113"/>
      <c r="D22" s="303"/>
    </row>
    <row r="23" spans="1:7" x14ac:dyDescent="0.25">
      <c r="A23" s="1113" t="s">
        <v>382</v>
      </c>
      <c r="B23" s="1113"/>
      <c r="C23" s="1113"/>
      <c r="D23" s="303"/>
    </row>
    <row r="24" spans="1:7" x14ac:dyDescent="0.25">
      <c r="A24" s="61"/>
      <c r="B24" s="61"/>
    </row>
    <row r="25" spans="1:7" x14ac:dyDescent="0.25">
      <c r="A25" s="61" t="s">
        <v>538</v>
      </c>
      <c r="B25" s="61" t="s">
        <v>71</v>
      </c>
    </row>
    <row r="26" spans="1:7" x14ac:dyDescent="0.25">
      <c r="A26" s="1117" t="s">
        <v>8</v>
      </c>
      <c r="B26" s="1118"/>
      <c r="C26" s="1125"/>
      <c r="D26" s="1121" t="s">
        <v>6</v>
      </c>
      <c r="E26" s="1121"/>
      <c r="F26" s="1121" t="s">
        <v>7</v>
      </c>
      <c r="G26" s="1121"/>
    </row>
    <row r="27" spans="1:7" x14ac:dyDescent="0.25">
      <c r="A27" s="1119"/>
      <c r="B27" s="1120"/>
      <c r="C27" s="1126"/>
      <c r="D27" s="294" t="s">
        <v>9</v>
      </c>
      <c r="E27" s="294" t="s">
        <v>10</v>
      </c>
      <c r="F27" s="294" t="s">
        <v>9</v>
      </c>
      <c r="G27" s="294" t="s">
        <v>10</v>
      </c>
    </row>
    <row r="28" spans="1:7" ht="15" customHeight="1" x14ac:dyDescent="0.25">
      <c r="A28" s="1122" t="s">
        <v>11</v>
      </c>
      <c r="B28" s="1123"/>
      <c r="C28" s="1124"/>
      <c r="D28" s="304">
        <f>D8*'ANTP_1.3 Frota Total'!C21</f>
        <v>0</v>
      </c>
      <c r="E28" s="304">
        <f>E8*'ANTP_1.3 Frota Total'!D21</f>
        <v>0</v>
      </c>
      <c r="F28" s="304">
        <f>F8*'ANTP_1.3 Frota Total'!E21</f>
        <v>0</v>
      </c>
      <c r="G28" s="304">
        <f>G8*'ANTP_1.3 Frota Total'!F21</f>
        <v>0</v>
      </c>
    </row>
    <row r="29" spans="1:7" x14ac:dyDescent="0.25">
      <c r="A29" s="1122" t="s">
        <v>12</v>
      </c>
      <c r="B29" s="1123"/>
      <c r="C29" s="1124"/>
      <c r="D29" s="304">
        <f>D9*'ANTP_1.3 Frota Total'!C22</f>
        <v>0</v>
      </c>
      <c r="E29" s="304">
        <f>E9*'ANTP_1.3 Frota Total'!D22</f>
        <v>0</v>
      </c>
      <c r="F29" s="304">
        <f>F9*'ANTP_1.3 Frota Total'!E22</f>
        <v>0</v>
      </c>
      <c r="G29" s="304">
        <f>G9*'ANTP_1.3 Frota Total'!F22</f>
        <v>0</v>
      </c>
    </row>
    <row r="30" spans="1:7" x14ac:dyDescent="0.25">
      <c r="A30" s="1122" t="s">
        <v>13</v>
      </c>
      <c r="B30" s="1123"/>
      <c r="C30" s="1124"/>
      <c r="D30" s="304">
        <f>D10*'ANTP_1.3 Frota Total'!C23</f>
        <v>0</v>
      </c>
      <c r="E30" s="304">
        <f>E10*'ANTP_1.3 Frota Total'!D23</f>
        <v>0</v>
      </c>
      <c r="F30" s="304">
        <f>F10*'ANTP_1.3 Frota Total'!E23</f>
        <v>0</v>
      </c>
      <c r="G30" s="304">
        <f>G10*'ANTP_1.3 Frota Total'!F23</f>
        <v>0</v>
      </c>
    </row>
    <row r="31" spans="1:7" x14ac:dyDescent="0.25">
      <c r="A31" s="1122" t="s">
        <v>14</v>
      </c>
      <c r="B31" s="1123"/>
      <c r="C31" s="1124"/>
      <c r="D31" s="304">
        <f>D11*'ANTP_1.3 Frota Total'!C24</f>
        <v>8175200</v>
      </c>
      <c r="E31" s="304">
        <f>E11*'ANTP_1.3 Frota Total'!D24</f>
        <v>0</v>
      </c>
      <c r="F31" s="304">
        <f>F11*'ANTP_1.3 Frota Total'!E24</f>
        <v>0</v>
      </c>
      <c r="G31" s="304">
        <f>G11*'ANTP_1.3 Frota Total'!F24</f>
        <v>0</v>
      </c>
    </row>
    <row r="32" spans="1:7" x14ac:dyDescent="0.25">
      <c r="A32" s="1122" t="s">
        <v>15</v>
      </c>
      <c r="B32" s="1123"/>
      <c r="C32" s="1124"/>
      <c r="D32" s="304">
        <f>D12*'ANTP_1.3 Frota Total'!C25</f>
        <v>0</v>
      </c>
      <c r="E32" s="304">
        <f>E12*'ANTP_1.3 Frota Total'!D25</f>
        <v>0</v>
      </c>
      <c r="F32" s="304">
        <f>F12*'ANTP_1.3 Frota Total'!E25</f>
        <v>0</v>
      </c>
      <c r="G32" s="304">
        <f>G12*'ANTP_1.3 Frota Total'!F25</f>
        <v>0</v>
      </c>
    </row>
    <row r="33" spans="1:7" x14ac:dyDescent="0.25">
      <c r="A33" s="1122" t="s">
        <v>16</v>
      </c>
      <c r="B33" s="1123"/>
      <c r="C33" s="1124"/>
      <c r="D33" s="304">
        <f>D13*'ANTP_1.3 Frota Total'!C26</f>
        <v>0</v>
      </c>
      <c r="E33" s="304">
        <f>E13*'ANTP_1.3 Frota Total'!D26</f>
        <v>0</v>
      </c>
      <c r="F33" s="304">
        <f>F13*'ANTP_1.3 Frota Total'!E26</f>
        <v>0</v>
      </c>
      <c r="G33" s="304">
        <f>G13*'ANTP_1.3 Frota Total'!F26</f>
        <v>0</v>
      </c>
    </row>
    <row r="34" spans="1:7" x14ac:dyDescent="0.25">
      <c r="A34" s="1122" t="s">
        <v>17</v>
      </c>
      <c r="B34" s="1123"/>
      <c r="C34" s="1124"/>
      <c r="D34" s="304">
        <f>D14*'ANTP_1.3 Frota Total'!C27</f>
        <v>0</v>
      </c>
      <c r="E34" s="304">
        <f>E14*'ANTP_1.3 Frota Total'!D27</f>
        <v>0</v>
      </c>
      <c r="F34" s="304">
        <f>F14*'ANTP_1.3 Frota Total'!E27</f>
        <v>0</v>
      </c>
      <c r="G34" s="304">
        <f>G14*'ANTP_1.3 Frota Total'!F27</f>
        <v>0</v>
      </c>
    </row>
    <row r="36" spans="1:7" x14ac:dyDescent="0.25">
      <c r="A36" s="61" t="s">
        <v>539</v>
      </c>
      <c r="B36" s="61" t="s">
        <v>72</v>
      </c>
    </row>
    <row r="37" spans="1:7" x14ac:dyDescent="0.25">
      <c r="A37" s="1117" t="s">
        <v>8</v>
      </c>
      <c r="B37" s="1118"/>
      <c r="C37" s="1125"/>
      <c r="D37" s="1121" t="s">
        <v>6</v>
      </c>
      <c r="E37" s="1121"/>
      <c r="F37" s="1121" t="s">
        <v>7</v>
      </c>
      <c r="G37" s="1121"/>
    </row>
    <row r="38" spans="1:7" x14ac:dyDescent="0.25">
      <c r="A38" s="1119"/>
      <c r="B38" s="1120"/>
      <c r="C38" s="1126"/>
      <c r="D38" s="294" t="s">
        <v>9</v>
      </c>
      <c r="E38" s="294" t="s">
        <v>10</v>
      </c>
      <c r="F38" s="294" t="s">
        <v>9</v>
      </c>
      <c r="G38" s="294" t="s">
        <v>10</v>
      </c>
    </row>
    <row r="39" spans="1:7" ht="15" customHeight="1" x14ac:dyDescent="0.25">
      <c r="A39" s="1122" t="s">
        <v>11</v>
      </c>
      <c r="B39" s="1123"/>
      <c r="C39" s="1124"/>
      <c r="D39" s="304" t="str">
        <f>IF(D28&lt;&gt;0,'ANTP_1.3 Frota Total'!C21,"")</f>
        <v/>
      </c>
      <c r="E39" s="304" t="str">
        <f>IF(E28&lt;&gt;0,'ANTP_1.3 Frota Total'!D21,"")</f>
        <v/>
      </c>
      <c r="F39" s="304" t="str">
        <f>IF(F28&lt;&gt;0,'ANTP_1.3 Frota Total'!E21,"")</f>
        <v/>
      </c>
      <c r="G39" s="304" t="str">
        <f>IF(G28&lt;&gt;0,'ANTP_1.3 Frota Total'!F21,"")</f>
        <v/>
      </c>
    </row>
    <row r="40" spans="1:7" x14ac:dyDescent="0.25">
      <c r="A40" s="1122" t="s">
        <v>12</v>
      </c>
      <c r="B40" s="1123"/>
      <c r="C40" s="1124"/>
      <c r="D40" s="304" t="str">
        <f>IF(D29&lt;&gt;0,'ANTP_1.3 Frota Total'!C22,"")</f>
        <v/>
      </c>
      <c r="E40" s="304" t="str">
        <f>IF(E29&lt;&gt;0,'ANTP_1.3 Frota Total'!D22,"")</f>
        <v/>
      </c>
      <c r="F40" s="304" t="str">
        <f>IF(F29&lt;&gt;0,'ANTP_1.3 Frota Total'!E22,"")</f>
        <v/>
      </c>
      <c r="G40" s="304" t="str">
        <f>IF(G29&lt;&gt;0,'ANTP_1.3 Frota Total'!F22,"")</f>
        <v/>
      </c>
    </row>
    <row r="41" spans="1:7" x14ac:dyDescent="0.25">
      <c r="A41" s="1122" t="s">
        <v>13</v>
      </c>
      <c r="B41" s="1123"/>
      <c r="C41" s="1124"/>
      <c r="D41" s="304" t="str">
        <f>IF(D30&lt;&gt;0,'ANTP_1.3 Frota Total'!C23,"")</f>
        <v/>
      </c>
      <c r="E41" s="304" t="str">
        <f>IF(E30&lt;&gt;0,'ANTP_1.3 Frota Total'!D23,"")</f>
        <v/>
      </c>
      <c r="F41" s="304" t="str">
        <f>IF(F30&lt;&gt;0,'ANTP_1.3 Frota Total'!E23,"")</f>
        <v/>
      </c>
      <c r="G41" s="304" t="str">
        <f>IF(G30&lt;&gt;0,'ANTP_1.3 Frota Total'!F23,"")</f>
        <v/>
      </c>
    </row>
    <row r="42" spans="1:7" x14ac:dyDescent="0.25">
      <c r="A42" s="1122" t="s">
        <v>14</v>
      </c>
      <c r="B42" s="1123"/>
      <c r="C42" s="1124"/>
      <c r="D42" s="304">
        <f>IF(D31&lt;&gt;0,'ANTP_1.3 Frota Total'!C24,"")</f>
        <v>11</v>
      </c>
      <c r="E42" s="304" t="str">
        <f>IF(E31&lt;&gt;0,'ANTP_1.3 Frota Total'!D24,"")</f>
        <v/>
      </c>
      <c r="F42" s="304" t="str">
        <f>IF(F31&lt;&gt;0,'ANTP_1.3 Frota Total'!E24,"")</f>
        <v/>
      </c>
      <c r="G42" s="304" t="str">
        <f>IF(G31&lt;&gt;0,'ANTP_1.3 Frota Total'!F24,"")</f>
        <v/>
      </c>
    </row>
    <row r="43" spans="1:7" x14ac:dyDescent="0.25">
      <c r="A43" s="1122" t="s">
        <v>15</v>
      </c>
      <c r="B43" s="1123"/>
      <c r="C43" s="1124"/>
      <c r="D43" s="304" t="str">
        <f>IF(D32&lt;&gt;0,'ANTP_1.3 Frota Total'!C25,"")</f>
        <v/>
      </c>
      <c r="E43" s="304" t="str">
        <f>IF(E32&lt;&gt;0,'ANTP_1.3 Frota Total'!D25,"")</f>
        <v/>
      </c>
      <c r="F43" s="304" t="str">
        <f>IF(F32&lt;&gt;0,'ANTP_1.3 Frota Total'!E25,"")</f>
        <v/>
      </c>
      <c r="G43" s="304" t="str">
        <f>IF(G32&lt;&gt;0,'ANTP_1.3 Frota Total'!F25,"")</f>
        <v/>
      </c>
    </row>
    <row r="44" spans="1:7" x14ac:dyDescent="0.25">
      <c r="A44" s="1122" t="s">
        <v>16</v>
      </c>
      <c r="B44" s="1123"/>
      <c r="C44" s="1124"/>
      <c r="D44" s="304" t="str">
        <f>IF(D33&lt;&gt;0,'ANTP_1.3 Frota Total'!C26,"")</f>
        <v/>
      </c>
      <c r="E44" s="304" t="str">
        <f>IF(E33&lt;&gt;0,'ANTP_1.3 Frota Total'!D26,"")</f>
        <v/>
      </c>
      <c r="F44" s="304" t="str">
        <f>IF(F33&lt;&gt;0,'ANTP_1.3 Frota Total'!E26,"")</f>
        <v/>
      </c>
      <c r="G44" s="304" t="str">
        <f>IF(G33&lt;&gt;0,'ANTP_1.3 Frota Total'!F26,"")</f>
        <v/>
      </c>
    </row>
    <row r="45" spans="1:7" x14ac:dyDescent="0.25">
      <c r="A45" s="1122" t="s">
        <v>17</v>
      </c>
      <c r="B45" s="1123"/>
      <c r="C45" s="1124"/>
      <c r="D45" s="304" t="str">
        <f>IF(D34&lt;&gt;0,'ANTP_1.3 Frota Total'!C27,"")</f>
        <v/>
      </c>
      <c r="E45" s="304" t="str">
        <f>IF(E34&lt;&gt;0,'ANTP_1.3 Frota Total'!D27,"")</f>
        <v/>
      </c>
      <c r="F45" s="304" t="str">
        <f>IF(F34&lt;&gt;0,'ANTP_1.3 Frota Total'!E27,"")</f>
        <v/>
      </c>
      <c r="G45" s="304" t="str">
        <f>IF(G34&lt;&gt;0,'ANTP_1.3 Frota Total'!F27,"")</f>
        <v/>
      </c>
    </row>
    <row r="46" spans="1:7" customFormat="1" ht="12.75" x14ac:dyDescent="0.2"/>
    <row r="47" spans="1:7" x14ac:dyDescent="0.25">
      <c r="A47" s="61" t="s">
        <v>725</v>
      </c>
      <c r="B47" s="61" t="s">
        <v>211</v>
      </c>
    </row>
    <row r="48" spans="1:7" x14ac:dyDescent="0.25">
      <c r="A48" s="1117" t="s">
        <v>8</v>
      </c>
      <c r="B48" s="1118"/>
      <c r="C48" s="1125"/>
      <c r="D48" s="1121" t="s">
        <v>6</v>
      </c>
      <c r="E48" s="1121"/>
      <c r="F48" s="1121" t="s">
        <v>7</v>
      </c>
      <c r="G48" s="1121"/>
    </row>
    <row r="49" spans="1:7" x14ac:dyDescent="0.25">
      <c r="A49" s="1119"/>
      <c r="B49" s="1120"/>
      <c r="C49" s="1126"/>
      <c r="D49" s="294" t="s">
        <v>9</v>
      </c>
      <c r="E49" s="294" t="s">
        <v>10</v>
      </c>
      <c r="F49" s="294" t="s">
        <v>9</v>
      </c>
      <c r="G49" s="294" t="s">
        <v>10</v>
      </c>
    </row>
    <row r="50" spans="1:7" ht="15" customHeight="1" x14ac:dyDescent="0.25">
      <c r="A50" s="1122" t="s">
        <v>11</v>
      </c>
      <c r="B50" s="1123"/>
      <c r="C50" s="1124"/>
      <c r="D50" s="305" t="str">
        <f>IF(D8&gt;0,D8-('Ref_A.VI. Rodagem'!$D45),"")</f>
        <v/>
      </c>
      <c r="E50" s="305" t="str">
        <f>IF(E8&gt;0,E8-('Ref_A.VI. Rodagem'!$D45),"")</f>
        <v/>
      </c>
      <c r="F50" s="305" t="str">
        <f>IF(F8&gt;0,F8-('Ref_A.VI. Rodagem'!$D45),"")</f>
        <v/>
      </c>
      <c r="G50" s="305" t="str">
        <f>IF(G8&gt;0,G8-('Ref_A.VI. Rodagem'!$D45),"")</f>
        <v/>
      </c>
    </row>
    <row r="51" spans="1:7" x14ac:dyDescent="0.25">
      <c r="A51" s="1122" t="s">
        <v>12</v>
      </c>
      <c r="B51" s="1123"/>
      <c r="C51" s="1124"/>
      <c r="D51" s="305">
        <f>IF(D9&gt;0,D9-('Ref_A.VI. Rodagem'!$D46),"")</f>
        <v>525500</v>
      </c>
      <c r="E51" s="305" t="str">
        <f>IF(E9&gt;0,E9-('Ref_A.VI. Rodagem'!$D46),"")</f>
        <v/>
      </c>
      <c r="F51" s="305" t="str">
        <f>IF(F9&gt;0,F9-('Ref_A.VI. Rodagem'!$D46),"")</f>
        <v/>
      </c>
      <c r="G51" s="305" t="str">
        <f>IF(G9&gt;0,G9-('Ref_A.VI. Rodagem'!$D46),"")</f>
        <v/>
      </c>
    </row>
    <row r="52" spans="1:7" x14ac:dyDescent="0.25">
      <c r="A52" s="1122" t="s">
        <v>13</v>
      </c>
      <c r="B52" s="1123"/>
      <c r="C52" s="1124"/>
      <c r="D52" s="305">
        <f>IF(D10&gt;0,D10-('Ref_A.VI. Rodagem'!$D47),"")</f>
        <v>691977.6</v>
      </c>
      <c r="E52" s="305" t="str">
        <f>IF(E10&gt;0,E10-('Ref_A.VI. Rodagem'!$D47),"")</f>
        <v/>
      </c>
      <c r="F52" s="305" t="str">
        <f>IF(F10&gt;0,F10-('Ref_A.VI. Rodagem'!$D47),"")</f>
        <v/>
      </c>
      <c r="G52" s="305" t="str">
        <f>IF(G10&gt;0,G10-('Ref_A.VI. Rodagem'!$D47),"")</f>
        <v/>
      </c>
    </row>
    <row r="53" spans="1:7" x14ac:dyDescent="0.25">
      <c r="A53" s="1122" t="s">
        <v>14</v>
      </c>
      <c r="B53" s="1123"/>
      <c r="C53" s="1124"/>
      <c r="D53" s="305">
        <f>IF(D11&gt;0,D11-('Ref_A.VI. Rodagem'!$D48),"")</f>
        <v>731377.6</v>
      </c>
      <c r="E53" s="305" t="str">
        <f>IF(E11&gt;0,E11-('Ref_A.VI. Rodagem'!$D48),"")</f>
        <v/>
      </c>
      <c r="F53" s="305" t="str">
        <f>IF(F11&gt;0,F11-('Ref_A.VI. Rodagem'!$D48),"")</f>
        <v/>
      </c>
      <c r="G53" s="305" t="str">
        <f>IF(G11&gt;0,G11-('Ref_A.VI. Rodagem'!$D48),"")</f>
        <v/>
      </c>
    </row>
    <row r="54" spans="1:7" x14ac:dyDescent="0.25">
      <c r="A54" s="1122" t="s">
        <v>15</v>
      </c>
      <c r="B54" s="1123"/>
      <c r="C54" s="1124"/>
      <c r="D54" s="305" t="str">
        <f>IF(D12&gt;0,D12-('Ref_A.VI. Rodagem'!$D49),"")</f>
        <v/>
      </c>
      <c r="E54" s="305" t="str">
        <f>IF(E12&gt;0,E12-('Ref_A.VI. Rodagem'!$D49),"")</f>
        <v/>
      </c>
      <c r="F54" s="305" t="str">
        <f>IF(F12&gt;0,F12-('Ref_A.VI. Rodagem'!$D49),"")</f>
        <v/>
      </c>
      <c r="G54" s="305" t="str">
        <f>IF(G12&gt;0,G12-('Ref_A.VI. Rodagem'!$D49),"")</f>
        <v/>
      </c>
    </row>
    <row r="55" spans="1:7" x14ac:dyDescent="0.25">
      <c r="A55" s="1122" t="s">
        <v>16</v>
      </c>
      <c r="B55" s="1123"/>
      <c r="C55" s="1124"/>
      <c r="D55" s="305" t="str">
        <f>IF(D13&gt;0,D13-('Ref_A.VI. Rodagem'!$D50),"")</f>
        <v/>
      </c>
      <c r="E55" s="305" t="str">
        <f>IF(E13&gt;0,E13-('Ref_A.VI. Rodagem'!$D50),"")</f>
        <v/>
      </c>
      <c r="F55" s="305" t="str">
        <f>IF(F13&gt;0,F13-('Ref_A.VI. Rodagem'!$D50),"")</f>
        <v/>
      </c>
      <c r="G55" s="305" t="str">
        <f>IF(G13&gt;0,G13-('Ref_A.VI. Rodagem'!$D50),"")</f>
        <v/>
      </c>
    </row>
    <row r="56" spans="1:7" x14ac:dyDescent="0.25">
      <c r="A56" s="1122" t="s">
        <v>17</v>
      </c>
      <c r="B56" s="1123"/>
      <c r="C56" s="1124"/>
      <c r="D56" s="305" t="str">
        <f>IF(D14&gt;0,D14-('Ref_A.VI. Rodagem'!$D51),"")</f>
        <v/>
      </c>
      <c r="E56" s="305" t="str">
        <f>IF(E14&gt;0,E14-('Ref_A.VI. Rodagem'!$D51),"")</f>
        <v/>
      </c>
      <c r="F56" s="305" t="str">
        <f>IF(F14&gt;0,F14-('Ref_A.VI. Rodagem'!$D51),"")</f>
        <v/>
      </c>
      <c r="G56" s="305" t="str">
        <f>IF(G14&gt;0,G14-('Ref_A.VI. Rodagem'!$D51),"")</f>
        <v/>
      </c>
    </row>
    <row r="57" spans="1:7" x14ac:dyDescent="0.25">
      <c r="A57" s="61"/>
      <c r="B57" s="61"/>
    </row>
    <row r="59" spans="1:7" ht="21" x14ac:dyDescent="0.25">
      <c r="A59" s="1128" t="s">
        <v>209</v>
      </c>
      <c r="B59" s="1129"/>
      <c r="C59" s="1130"/>
      <c r="D59" s="306">
        <f>SUM(D28:G34)/SUM(D39:G45)</f>
        <v>743200</v>
      </c>
    </row>
    <row r="60" spans="1:7" ht="21" x14ac:dyDescent="0.25">
      <c r="A60" s="1128" t="s">
        <v>210</v>
      </c>
      <c r="B60" s="1129"/>
      <c r="C60" s="1130"/>
      <c r="D60" s="306">
        <f>D11</f>
        <v>743200</v>
      </c>
    </row>
  </sheetData>
  <sheetProtection algorithmName="SHA-512" hashValue="AdMyXuOd5Tmv37HvszPwbg8u+WZmq9POAZRv6WaaWQYt66PHEWBBSKlMJtZ2T1mgojWsox/0hvJJt7LxUgeYJw==" saltValue="TT5GeNMf4aUeconx6OvghA==" spinCount="100000" sheet="1" objects="1" scenarios="1"/>
  <mergeCells count="49">
    <mergeCell ref="A6:C7"/>
    <mergeCell ref="A10:C10"/>
    <mergeCell ref="D17:D18"/>
    <mergeCell ref="F6:G6"/>
    <mergeCell ref="A32:C32"/>
    <mergeCell ref="A19:C19"/>
    <mergeCell ref="F26:G26"/>
    <mergeCell ref="A13:C13"/>
    <mergeCell ref="A17:C18"/>
    <mergeCell ref="D6:E6"/>
    <mergeCell ref="A20:C20"/>
    <mergeCell ref="D26:E26"/>
    <mergeCell ref="A11:C11"/>
    <mergeCell ref="A14:C14"/>
    <mergeCell ref="A26:C27"/>
    <mergeCell ref="A12:C12"/>
    <mergeCell ref="A60:C60"/>
    <mergeCell ref="A50:C50"/>
    <mergeCell ref="A48:C49"/>
    <mergeCell ref="A59:C59"/>
    <mergeCell ref="A43:C43"/>
    <mergeCell ref="A54:C54"/>
    <mergeCell ref="A51:C51"/>
    <mergeCell ref="A52:C52"/>
    <mergeCell ref="A45:C45"/>
    <mergeCell ref="A56:C56"/>
    <mergeCell ref="A55:C55"/>
    <mergeCell ref="A53:C53"/>
    <mergeCell ref="A23:C23"/>
    <mergeCell ref="A21:C21"/>
    <mergeCell ref="A22:C22"/>
    <mergeCell ref="A8:C8"/>
    <mergeCell ref="A9:C9"/>
    <mergeCell ref="F48:G48"/>
    <mergeCell ref="A44:C44"/>
    <mergeCell ref="A28:C28"/>
    <mergeCell ref="A30:C30"/>
    <mergeCell ref="D37:E37"/>
    <mergeCell ref="A40:C40"/>
    <mergeCell ref="D48:E48"/>
    <mergeCell ref="A41:C41"/>
    <mergeCell ref="A42:C42"/>
    <mergeCell ref="A29:C29"/>
    <mergeCell ref="A34:C34"/>
    <mergeCell ref="A33:C33"/>
    <mergeCell ref="A37:C38"/>
    <mergeCell ref="A31:C31"/>
    <mergeCell ref="F37:G37"/>
    <mergeCell ref="A39:C39"/>
  </mergeCells>
  <pageMargins left="1.9685039370078741" right="0.51181102362204722" top="0.78740157480314965" bottom="0.78740157480314965" header="0.31496062992125984" footer="0.31496062992125984"/>
  <pageSetup paperSize="9" scale="65" fitToHeight="2" orientation="landscape" r:id="rId1"/>
  <rowBreaks count="1" manualBreakCount="1">
    <brk id="46"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P101"/>
  <sheetViews>
    <sheetView view="pageBreakPreview" zoomScale="85" zoomScaleNormal="40" zoomScaleSheetLayoutView="85" workbookViewId="0">
      <selection activeCell="E7" sqref="E7"/>
    </sheetView>
  </sheetViews>
  <sheetFormatPr defaultRowHeight="12.75" x14ac:dyDescent="0.2"/>
  <cols>
    <col min="1" max="1" width="4.7109375" style="521" bestFit="1" customWidth="1"/>
    <col min="2" max="2" width="12.5703125" style="522" customWidth="1"/>
    <col min="3" max="3" width="6.28515625" style="522" bestFit="1" customWidth="1"/>
    <col min="4" max="4" width="19" style="522" bestFit="1" customWidth="1"/>
    <col min="5" max="5" width="35.85546875" style="522" customWidth="1"/>
    <col min="6" max="6" width="15.28515625" style="3" bestFit="1" customWidth="1"/>
    <col min="7" max="7" width="1.85546875" style="131" customWidth="1"/>
    <col min="8" max="8" width="15" style="522" bestFit="1" customWidth="1"/>
    <col min="9" max="9" width="3.7109375" style="131" customWidth="1"/>
    <col min="10" max="10" width="9.42578125" style="523" customWidth="1"/>
    <col min="11" max="13" width="9.42578125" style="3" customWidth="1"/>
    <col min="14" max="16" width="8.85546875" style="3" customWidth="1"/>
    <col min="17" max="16384" width="9.140625" style="3"/>
  </cols>
  <sheetData>
    <row r="1" spans="1:16" s="131" customFormat="1" ht="15" x14ac:dyDescent="0.25">
      <c r="A1" s="521"/>
      <c r="B1" s="560" t="s">
        <v>1182</v>
      </c>
      <c r="C1" s="522"/>
      <c r="D1" s="522"/>
      <c r="E1" s="522"/>
      <c r="H1" s="522"/>
    </row>
    <row r="2" spans="1:16" s="131" customFormat="1" x14ac:dyDescent="0.2">
      <c r="A2" s="521"/>
      <c r="B2" s="522"/>
      <c r="C2" s="522"/>
      <c r="D2" s="522"/>
      <c r="E2" s="522"/>
      <c r="H2" s="522"/>
      <c r="J2" s="524"/>
    </row>
    <row r="3" spans="1:16" s="131" customFormat="1" x14ac:dyDescent="0.2">
      <c r="A3" s="521"/>
      <c r="B3" s="522"/>
      <c r="C3" s="522"/>
      <c r="D3" s="522"/>
      <c r="E3" s="522"/>
      <c r="H3" s="522"/>
      <c r="J3" s="524"/>
    </row>
    <row r="4" spans="1:16" s="131" customFormat="1" x14ac:dyDescent="0.2">
      <c r="A4" s="521" t="s">
        <v>21</v>
      </c>
      <c r="B4" s="1131" t="s">
        <v>44</v>
      </c>
      <c r="C4" s="1131"/>
      <c r="D4" s="1131"/>
      <c r="E4" s="525"/>
      <c r="H4" s="522"/>
      <c r="J4" s="523"/>
    </row>
    <row r="5" spans="1:16" ht="15" x14ac:dyDescent="0.25">
      <c r="C5" s="526" t="s">
        <v>594</v>
      </c>
      <c r="D5" s="1131" t="s">
        <v>161</v>
      </c>
      <c r="E5" s="1132"/>
      <c r="F5" s="527">
        <f>Ent_Geral!D27</f>
        <v>5.6079999999999997</v>
      </c>
      <c r="G5" s="28"/>
      <c r="H5" s="29" t="s">
        <v>49</v>
      </c>
      <c r="J5" s="528"/>
      <c r="K5" s="528"/>
      <c r="L5" s="528"/>
      <c r="M5" s="528"/>
      <c r="N5" s="528"/>
      <c r="O5" s="528"/>
      <c r="P5" s="528"/>
    </row>
    <row r="6" spans="1:16" x14ac:dyDescent="0.2">
      <c r="F6" s="131"/>
      <c r="J6" s="528"/>
      <c r="K6" s="528"/>
      <c r="L6" s="528"/>
      <c r="M6" s="528"/>
      <c r="N6" s="528"/>
      <c r="O6" s="528"/>
      <c r="P6" s="528"/>
    </row>
    <row r="7" spans="1:16" x14ac:dyDescent="0.2">
      <c r="A7" s="521" t="s">
        <v>23</v>
      </c>
      <c r="B7" s="1131" t="s">
        <v>51</v>
      </c>
      <c r="C7" s="1131"/>
      <c r="D7" s="1131"/>
      <c r="E7" s="525"/>
      <c r="F7" s="131"/>
      <c r="J7" s="528"/>
      <c r="K7" s="528"/>
      <c r="L7" s="528"/>
      <c r="M7" s="528"/>
      <c r="N7" s="528"/>
      <c r="O7" s="528"/>
      <c r="P7" s="528"/>
    </row>
    <row r="8" spans="1:16" ht="26.25" customHeight="1" x14ac:dyDescent="0.2">
      <c r="C8" s="529" t="s">
        <v>595</v>
      </c>
      <c r="D8" s="1133" t="s">
        <v>162</v>
      </c>
      <c r="E8" s="1134"/>
      <c r="F8" s="309">
        <f>Ent_Geral!D28</f>
        <v>2.6499999999999999E-2</v>
      </c>
      <c r="G8" s="30"/>
      <c r="H8" s="100" t="s">
        <v>213</v>
      </c>
      <c r="J8" s="530"/>
      <c r="K8" s="530"/>
      <c r="L8" s="530"/>
      <c r="M8" s="530"/>
      <c r="N8" s="530"/>
      <c r="O8" s="530"/>
      <c r="P8" s="530"/>
    </row>
    <row r="9" spans="1:16" x14ac:dyDescent="0.2">
      <c r="F9" s="131"/>
      <c r="J9" s="531"/>
      <c r="K9" s="531"/>
      <c r="L9" s="531"/>
      <c r="M9" s="531"/>
      <c r="N9" s="531"/>
      <c r="O9" s="531"/>
      <c r="P9" s="531"/>
    </row>
    <row r="10" spans="1:16" x14ac:dyDescent="0.2">
      <c r="A10" s="521" t="s">
        <v>29</v>
      </c>
      <c r="B10" s="522" t="s">
        <v>45</v>
      </c>
      <c r="F10" s="131"/>
      <c r="H10" s="131"/>
      <c r="J10" s="531"/>
      <c r="K10" s="531"/>
      <c r="L10" s="531"/>
      <c r="M10" s="531"/>
      <c r="N10" s="531"/>
      <c r="O10" s="531"/>
      <c r="P10" s="531"/>
    </row>
    <row r="11" spans="1:16" ht="15" x14ac:dyDescent="0.25">
      <c r="C11" s="526" t="s">
        <v>596</v>
      </c>
      <c r="D11" s="1131" t="s">
        <v>163</v>
      </c>
      <c r="E11" s="1132"/>
      <c r="F11" s="527">
        <f>Ent_Geral!D29</f>
        <v>3.5</v>
      </c>
      <c r="G11" s="28"/>
      <c r="H11" s="29" t="s">
        <v>49</v>
      </c>
      <c r="J11" s="528"/>
      <c r="K11" s="528"/>
      <c r="L11" s="528"/>
      <c r="M11" s="528"/>
      <c r="N11" s="528"/>
      <c r="O11" s="528"/>
      <c r="P11" s="528"/>
    </row>
    <row r="12" spans="1:16" ht="30" customHeight="1" x14ac:dyDescent="0.2">
      <c r="C12" s="529" t="s">
        <v>597</v>
      </c>
      <c r="D12" s="1133" t="s">
        <v>164</v>
      </c>
      <c r="E12" s="1134"/>
      <c r="F12" s="310">
        <f>Ent_Geral!D30</f>
        <v>0.04</v>
      </c>
      <c r="G12" s="30"/>
      <c r="H12" s="100" t="s">
        <v>52</v>
      </c>
      <c r="J12" s="530"/>
      <c r="K12" s="530"/>
      <c r="L12" s="530"/>
      <c r="M12" s="530"/>
      <c r="N12" s="530"/>
      <c r="O12" s="530"/>
      <c r="P12" s="530"/>
    </row>
    <row r="13" spans="1:16" x14ac:dyDescent="0.2">
      <c r="F13" s="131"/>
      <c r="J13" s="531"/>
    </row>
    <row r="14" spans="1:16" x14ac:dyDescent="0.2">
      <c r="A14" s="521" t="s">
        <v>30</v>
      </c>
      <c r="B14" s="522" t="s">
        <v>46</v>
      </c>
      <c r="D14" s="532" t="s">
        <v>734</v>
      </c>
      <c r="F14" s="131"/>
      <c r="H14" s="131"/>
      <c r="J14" s="531"/>
    </row>
    <row r="15" spans="1:16" ht="15" x14ac:dyDescent="0.25">
      <c r="C15" s="1135" t="s">
        <v>598</v>
      </c>
      <c r="D15" s="1137" t="s">
        <v>53</v>
      </c>
      <c r="E15" s="522" t="s">
        <v>165</v>
      </c>
      <c r="F15" s="533">
        <f>Ent_Geral!D31</f>
        <v>0</v>
      </c>
      <c r="G15" s="28"/>
      <c r="H15" s="29" t="s">
        <v>55</v>
      </c>
      <c r="J15" s="528"/>
    </row>
    <row r="16" spans="1:16" ht="15" x14ac:dyDescent="0.25">
      <c r="C16" s="1135"/>
      <c r="D16" s="1137"/>
      <c r="E16" s="522" t="s">
        <v>166</v>
      </c>
      <c r="F16" s="533">
        <f>Ent_Geral!D32</f>
        <v>1970.4</v>
      </c>
      <c r="G16" s="28"/>
      <c r="H16" s="29" t="s">
        <v>55</v>
      </c>
      <c r="J16" s="528"/>
    </row>
    <row r="17" spans="1:10" ht="15" x14ac:dyDescent="0.25">
      <c r="C17" s="1135"/>
      <c r="D17" s="1137"/>
      <c r="E17" s="522" t="s">
        <v>167</v>
      </c>
      <c r="F17" s="533">
        <f>Ent_Geral!D33</f>
        <v>0</v>
      </c>
      <c r="G17" s="28"/>
      <c r="H17" s="29" t="s">
        <v>55</v>
      </c>
      <c r="J17" s="528"/>
    </row>
    <row r="18" spans="1:10" ht="15" x14ac:dyDescent="0.25">
      <c r="C18" s="1135" t="s">
        <v>599</v>
      </c>
      <c r="D18" s="1136" t="s">
        <v>54</v>
      </c>
      <c r="E18" s="522" t="s">
        <v>165</v>
      </c>
      <c r="F18" s="533">
        <f>Ent_Geral!D34</f>
        <v>0</v>
      </c>
      <c r="G18" s="28"/>
      <c r="H18" s="29" t="s">
        <v>55</v>
      </c>
      <c r="J18" s="528"/>
    </row>
    <row r="19" spans="1:10" ht="15" x14ac:dyDescent="0.25">
      <c r="C19" s="1135"/>
      <c r="D19" s="1136"/>
      <c r="E19" s="522" t="s">
        <v>166</v>
      </c>
      <c r="F19" s="533">
        <f>Ent_Geral!D35</f>
        <v>600</v>
      </c>
      <c r="G19" s="28"/>
      <c r="H19" s="29" t="s">
        <v>55</v>
      </c>
      <c r="J19" s="528"/>
    </row>
    <row r="20" spans="1:10" ht="15" x14ac:dyDescent="0.25">
      <c r="C20" s="1135"/>
      <c r="D20" s="1136"/>
      <c r="E20" s="522" t="s">
        <v>167</v>
      </c>
      <c r="F20" s="533">
        <f>Ent_Geral!D36</f>
        <v>0</v>
      </c>
      <c r="G20" s="28"/>
      <c r="H20" s="29" t="s">
        <v>55</v>
      </c>
      <c r="J20" s="528"/>
    </row>
    <row r="21" spans="1:10" x14ac:dyDescent="0.2">
      <c r="F21" s="131"/>
      <c r="H21" s="131"/>
      <c r="J21" s="531"/>
    </row>
    <row r="22" spans="1:10" x14ac:dyDescent="0.2">
      <c r="F22" s="131"/>
      <c r="H22" s="131"/>
      <c r="J22" s="531"/>
    </row>
    <row r="23" spans="1:10" x14ac:dyDescent="0.2">
      <c r="A23" s="521" t="s">
        <v>583</v>
      </c>
      <c r="B23" s="522" t="s">
        <v>69</v>
      </c>
      <c r="F23" s="131"/>
      <c r="H23" s="131"/>
      <c r="J23" s="531"/>
    </row>
    <row r="24" spans="1:10" ht="25.5" customHeight="1" x14ac:dyDescent="0.2">
      <c r="C24" s="529" t="s">
        <v>600</v>
      </c>
      <c r="D24" s="1133" t="s">
        <v>229</v>
      </c>
      <c r="E24" s="1134"/>
      <c r="F24" s="534">
        <f>Ent_Geral!D39</f>
        <v>1.4999999999999999E-2</v>
      </c>
      <c r="G24" s="30"/>
      <c r="H24" s="100" t="s">
        <v>52</v>
      </c>
      <c r="J24" s="530"/>
    </row>
    <row r="25" spans="1:10" x14ac:dyDescent="0.2">
      <c r="F25" s="131"/>
      <c r="H25" s="131"/>
      <c r="J25" s="528"/>
    </row>
    <row r="26" spans="1:10" x14ac:dyDescent="0.2">
      <c r="A26" s="521" t="s">
        <v>584</v>
      </c>
      <c r="B26" s="522" t="s">
        <v>47</v>
      </c>
      <c r="F26" s="131"/>
      <c r="H26" s="131"/>
      <c r="J26" s="528"/>
    </row>
    <row r="27" spans="1:10" ht="15" x14ac:dyDescent="0.25">
      <c r="C27" s="526" t="s">
        <v>601</v>
      </c>
      <c r="D27" s="1131" t="s">
        <v>225</v>
      </c>
      <c r="E27" s="1132"/>
      <c r="F27" s="535">
        <f>'ANTP_2.1.b Veículos'!D60</f>
        <v>743200</v>
      </c>
      <c r="G27" s="28"/>
      <c r="H27" s="29" t="s">
        <v>70</v>
      </c>
      <c r="J27" s="530"/>
    </row>
    <row r="28" spans="1:10" x14ac:dyDescent="0.2">
      <c r="F28" s="131"/>
      <c r="H28" s="131"/>
      <c r="J28" s="530"/>
    </row>
    <row r="29" spans="1:10" x14ac:dyDescent="0.2">
      <c r="A29" s="521" t="s">
        <v>585</v>
      </c>
      <c r="B29" s="522" t="s">
        <v>48</v>
      </c>
      <c r="F29" s="131"/>
      <c r="H29" s="131"/>
    </row>
    <row r="30" spans="1:10" ht="15" x14ac:dyDescent="0.25">
      <c r="C30" s="526" t="s">
        <v>602</v>
      </c>
      <c r="D30" s="1131" t="s">
        <v>1171</v>
      </c>
      <c r="E30" s="1132"/>
      <c r="F30" s="533">
        <f>Ent_Geral!D42</f>
        <v>1996.23</v>
      </c>
      <c r="H30" s="29" t="s">
        <v>152</v>
      </c>
      <c r="J30" s="528"/>
    </row>
    <row r="31" spans="1:10" ht="15" x14ac:dyDescent="0.25">
      <c r="C31" s="526" t="s">
        <v>603</v>
      </c>
      <c r="D31" s="1131" t="s">
        <v>1170</v>
      </c>
      <c r="E31" s="1132"/>
      <c r="F31" s="533">
        <f>Ent_Geral!D43</f>
        <v>0</v>
      </c>
      <c r="H31" s="29" t="s">
        <v>152</v>
      </c>
      <c r="J31" s="528"/>
    </row>
    <row r="32" spans="1:10" ht="15" x14ac:dyDescent="0.25">
      <c r="C32" s="526" t="s">
        <v>604</v>
      </c>
      <c r="D32" s="1131" t="s">
        <v>1172</v>
      </c>
      <c r="E32" s="1132"/>
      <c r="F32" s="533">
        <f>Ent_Geral!D44</f>
        <v>0</v>
      </c>
      <c r="H32" s="29" t="s">
        <v>152</v>
      </c>
      <c r="J32" s="528"/>
    </row>
    <row r="33" spans="1:16" ht="15" x14ac:dyDescent="0.25">
      <c r="C33" s="526" t="s">
        <v>605</v>
      </c>
      <c r="D33" s="1131" t="s">
        <v>387</v>
      </c>
      <c r="E33" s="1132"/>
      <c r="F33" s="533">
        <f>Ent_Geral!D45</f>
        <v>0</v>
      </c>
      <c r="H33" s="29" t="s">
        <v>152</v>
      </c>
      <c r="J33" s="528"/>
      <c r="N33" s="536"/>
    </row>
    <row r="34" spans="1:16" ht="15" x14ac:dyDescent="0.25">
      <c r="C34" s="526" t="s">
        <v>606</v>
      </c>
      <c r="D34" s="1131" t="s">
        <v>1173</v>
      </c>
      <c r="E34" s="1132"/>
      <c r="F34" s="533">
        <f>Ent_Geral!D46</f>
        <v>808.24</v>
      </c>
      <c r="H34" s="29" t="s">
        <v>152</v>
      </c>
      <c r="J34" s="528"/>
    </row>
    <row r="35" spans="1:16" ht="15" x14ac:dyDescent="0.25">
      <c r="C35" s="526" t="s">
        <v>607</v>
      </c>
      <c r="D35" s="1131" t="s">
        <v>1174</v>
      </c>
      <c r="E35" s="1132"/>
      <c r="F35" s="533">
        <f>Ent_Geral!D47</f>
        <v>0</v>
      </c>
      <c r="H35" s="29" t="s">
        <v>152</v>
      </c>
      <c r="J35" s="528"/>
      <c r="N35" s="537"/>
    </row>
    <row r="36" spans="1:16" ht="15" x14ac:dyDescent="0.25">
      <c r="C36" s="526" t="s">
        <v>608</v>
      </c>
      <c r="D36" s="1131" t="s">
        <v>1175</v>
      </c>
      <c r="E36" s="1132"/>
      <c r="F36" s="533">
        <f>Ent_Geral!D48</f>
        <v>0</v>
      </c>
      <c r="H36" s="29" t="s">
        <v>152</v>
      </c>
      <c r="J36" s="528"/>
      <c r="N36" s="538"/>
    </row>
    <row r="37" spans="1:16" ht="15" x14ac:dyDescent="0.25">
      <c r="C37" s="526" t="s">
        <v>609</v>
      </c>
      <c r="D37" s="1131" t="s">
        <v>390</v>
      </c>
      <c r="E37" s="1132"/>
      <c r="F37" s="533">
        <f>Ent_Geral!D49</f>
        <v>0</v>
      </c>
      <c r="H37" s="29" t="s">
        <v>152</v>
      </c>
      <c r="J37" s="528"/>
      <c r="N37" s="538"/>
    </row>
    <row r="38" spans="1:16" ht="15" x14ac:dyDescent="0.25">
      <c r="C38" s="526" t="s">
        <v>610</v>
      </c>
      <c r="D38" s="1131" t="s">
        <v>1176</v>
      </c>
      <c r="E38" s="1132"/>
      <c r="F38" s="539">
        <f>Ent_Geral!D50</f>
        <v>2.278</v>
      </c>
      <c r="H38" s="100" t="s">
        <v>52</v>
      </c>
      <c r="J38" s="530"/>
      <c r="N38" s="540"/>
      <c r="P38" s="541"/>
    </row>
    <row r="39" spans="1:16" ht="15" x14ac:dyDescent="0.25">
      <c r="C39" s="526" t="s">
        <v>611</v>
      </c>
      <c r="D39" s="1131" t="s">
        <v>1177</v>
      </c>
      <c r="E39" s="1132"/>
      <c r="F39" s="539">
        <f>Ent_Geral!D51</f>
        <v>0</v>
      </c>
      <c r="H39" s="100" t="s">
        <v>52</v>
      </c>
      <c r="J39" s="530"/>
      <c r="N39" s="540"/>
    </row>
    <row r="40" spans="1:16" ht="15" x14ac:dyDescent="0.25">
      <c r="C40" s="526" t="s">
        <v>612</v>
      </c>
      <c r="D40" s="1131" t="s">
        <v>1178</v>
      </c>
      <c r="E40" s="1132"/>
      <c r="F40" s="539">
        <f>Ent_Geral!D52</f>
        <v>0</v>
      </c>
      <c r="H40" s="100" t="s">
        <v>52</v>
      </c>
      <c r="J40" s="530"/>
      <c r="N40" s="540"/>
    </row>
    <row r="41" spans="1:16" ht="15" x14ac:dyDescent="0.25">
      <c r="C41" s="526" t="s">
        <v>613</v>
      </c>
      <c r="D41" s="525" t="s">
        <v>389</v>
      </c>
      <c r="E41" s="542"/>
      <c r="F41" s="539">
        <f>Ent_Geral!D53</f>
        <v>0</v>
      </c>
      <c r="H41" s="100" t="s">
        <v>52</v>
      </c>
      <c r="J41" s="530"/>
      <c r="M41" s="543"/>
      <c r="N41" s="540"/>
    </row>
    <row r="42" spans="1:16" ht="15" x14ac:dyDescent="0.25">
      <c r="C42" s="526" t="s">
        <v>614</v>
      </c>
      <c r="D42" s="1131" t="s">
        <v>1179</v>
      </c>
      <c r="E42" s="1132"/>
      <c r="F42" s="539">
        <f>Ent_Geral!D54</f>
        <v>2.2530000000000001</v>
      </c>
      <c r="H42" s="100" t="s">
        <v>52</v>
      </c>
      <c r="J42" s="530"/>
      <c r="N42" s="540"/>
    </row>
    <row r="43" spans="1:16" ht="15" x14ac:dyDescent="0.25">
      <c r="C43" s="526" t="s">
        <v>615</v>
      </c>
      <c r="D43" s="1131" t="s">
        <v>1180</v>
      </c>
      <c r="E43" s="1132"/>
      <c r="F43" s="539">
        <f>Ent_Geral!D55</f>
        <v>0</v>
      </c>
      <c r="H43" s="100" t="s">
        <v>52</v>
      </c>
      <c r="J43" s="530"/>
      <c r="N43" s="540"/>
    </row>
    <row r="44" spans="1:16" ht="15" x14ac:dyDescent="0.25">
      <c r="C44" s="526" t="s">
        <v>616</v>
      </c>
      <c r="D44" s="1131" t="s">
        <v>1181</v>
      </c>
      <c r="E44" s="1132"/>
      <c r="F44" s="539">
        <f>Ent_Geral!D56</f>
        <v>0</v>
      </c>
      <c r="H44" s="100" t="s">
        <v>52</v>
      </c>
      <c r="J44" s="530"/>
      <c r="N44" s="540"/>
    </row>
    <row r="45" spans="1:16" ht="15" x14ac:dyDescent="0.25">
      <c r="C45" s="526" t="s">
        <v>617</v>
      </c>
      <c r="D45" s="525" t="s">
        <v>388</v>
      </c>
      <c r="E45" s="542"/>
      <c r="F45" s="539">
        <f>Ent_Geral!D57</f>
        <v>0</v>
      </c>
      <c r="H45" s="100" t="s">
        <v>52</v>
      </c>
      <c r="J45" s="530"/>
      <c r="N45" s="540"/>
    </row>
    <row r="46" spans="1:16" ht="15" x14ac:dyDescent="0.25">
      <c r="C46" s="526" t="s">
        <v>618</v>
      </c>
      <c r="D46" s="1131" t="s">
        <v>168</v>
      </c>
      <c r="E46" s="1132"/>
      <c r="F46" s="544">
        <f>Ent_Geral!D58</f>
        <v>42.07</v>
      </c>
      <c r="H46" s="29" t="s">
        <v>68</v>
      </c>
      <c r="J46" s="528"/>
    </row>
    <row r="47" spans="1:16" s="548" customFormat="1" ht="44.25" customHeight="1" x14ac:dyDescent="0.2">
      <c r="A47" s="545"/>
      <c r="B47" s="546"/>
      <c r="C47" s="529" t="s">
        <v>619</v>
      </c>
      <c r="D47" s="1133" t="s">
        <v>169</v>
      </c>
      <c r="E47" s="1134"/>
      <c r="F47" s="311">
        <f>Ent_Geral!D59</f>
        <v>54</v>
      </c>
      <c r="G47" s="547"/>
      <c r="H47" s="100" t="s">
        <v>68</v>
      </c>
      <c r="I47" s="547"/>
      <c r="J47" s="530"/>
    </row>
    <row r="48" spans="1:16" x14ac:dyDescent="0.2">
      <c r="F48" s="131"/>
      <c r="H48" s="131"/>
    </row>
    <row r="49" spans="1:10" x14ac:dyDescent="0.2">
      <c r="A49" s="521" t="s">
        <v>586</v>
      </c>
      <c r="B49" s="522" t="s">
        <v>150</v>
      </c>
      <c r="F49" s="131"/>
      <c r="H49" s="131"/>
    </row>
    <row r="50" spans="1:10" ht="15" x14ac:dyDescent="0.25">
      <c r="C50" s="526" t="s">
        <v>620</v>
      </c>
      <c r="D50" s="1131" t="s">
        <v>170</v>
      </c>
      <c r="E50" s="1132"/>
      <c r="F50" s="312">
        <f>Ent_Geral!D62</f>
        <v>0</v>
      </c>
      <c r="H50" s="29" t="s">
        <v>151</v>
      </c>
      <c r="J50" s="528"/>
    </row>
    <row r="51" spans="1:10" ht="15" x14ac:dyDescent="0.25">
      <c r="C51" s="526" t="s">
        <v>621</v>
      </c>
      <c r="D51" s="1131" t="s">
        <v>171</v>
      </c>
      <c r="E51" s="1132"/>
      <c r="F51" s="312">
        <f>Ent_Geral!D63</f>
        <v>213.81</v>
      </c>
      <c r="H51" s="29" t="s">
        <v>151</v>
      </c>
      <c r="J51" s="528"/>
    </row>
    <row r="52" spans="1:10" ht="15" x14ac:dyDescent="0.25">
      <c r="C52" s="526" t="s">
        <v>622</v>
      </c>
      <c r="D52" s="1131" t="s">
        <v>172</v>
      </c>
      <c r="E52" s="1132"/>
      <c r="F52" s="533">
        <f>Ent_Geral!D64</f>
        <v>26400</v>
      </c>
      <c r="H52" s="29" t="s">
        <v>151</v>
      </c>
      <c r="J52" s="528"/>
    </row>
    <row r="53" spans="1:10" ht="15" x14ac:dyDescent="0.25">
      <c r="C53" s="526" t="s">
        <v>623</v>
      </c>
      <c r="D53" s="1131" t="s">
        <v>173</v>
      </c>
      <c r="E53" s="1132"/>
      <c r="F53" s="549">
        <f>0.015*F27*'ANTP_1.4 Indicadores'!E18*(1-SUM('Ref_A.IX.a. Deprec. veículos'!I21:I32))</f>
        <v>12262.80000000001</v>
      </c>
      <c r="H53" s="29" t="s">
        <v>151</v>
      </c>
      <c r="J53" s="528"/>
    </row>
    <row r="54" spans="1:10" ht="15" x14ac:dyDescent="0.25">
      <c r="D54" s="525"/>
      <c r="E54" s="525"/>
      <c r="F54" s="131"/>
      <c r="H54" s="29"/>
      <c r="J54" s="528"/>
    </row>
    <row r="55" spans="1:10" x14ac:dyDescent="0.2">
      <c r="A55" s="521" t="s">
        <v>587</v>
      </c>
      <c r="B55" s="522" t="s">
        <v>139</v>
      </c>
      <c r="F55" s="131"/>
    </row>
    <row r="56" spans="1:10" s="548" customFormat="1" ht="29.25" customHeight="1" x14ac:dyDescent="0.2">
      <c r="A56" s="545"/>
      <c r="B56" s="546"/>
      <c r="C56" s="529" t="s">
        <v>624</v>
      </c>
      <c r="D56" s="1133" t="s">
        <v>174</v>
      </c>
      <c r="E56" s="1134"/>
      <c r="F56" s="550">
        <f>Ent_Geral!D67</f>
        <v>10</v>
      </c>
      <c r="G56" s="30"/>
      <c r="H56" s="100" t="s">
        <v>140</v>
      </c>
      <c r="I56" s="547"/>
      <c r="J56" s="551"/>
    </row>
    <row r="57" spans="1:10" ht="15" x14ac:dyDescent="0.25">
      <c r="C57" s="529" t="s">
        <v>625</v>
      </c>
      <c r="D57" s="1131" t="s">
        <v>175</v>
      </c>
      <c r="E57" s="1132"/>
      <c r="F57" s="550">
        <f>Ent_Geral!D68</f>
        <v>35000</v>
      </c>
      <c r="H57" s="29" t="s">
        <v>20</v>
      </c>
      <c r="J57" s="551"/>
    </row>
    <row r="58" spans="1:10" ht="15" x14ac:dyDescent="0.25">
      <c r="C58" s="529" t="s">
        <v>626</v>
      </c>
      <c r="D58" s="525" t="s">
        <v>645</v>
      </c>
      <c r="F58" s="550">
        <f>Ent_Geral!D69</f>
        <v>15</v>
      </c>
      <c r="G58" s="30"/>
      <c r="H58" s="29" t="s">
        <v>140</v>
      </c>
      <c r="J58" s="551"/>
    </row>
    <row r="59" spans="1:10" ht="15" x14ac:dyDescent="0.2">
      <c r="C59" s="529" t="s">
        <v>743</v>
      </c>
      <c r="D59" s="522" t="s">
        <v>627</v>
      </c>
      <c r="F59" s="550">
        <f>Ent_Geral!D70</f>
        <v>2</v>
      </c>
      <c r="H59" s="522" t="s">
        <v>386</v>
      </c>
      <c r="J59" s="551"/>
    </row>
    <row r="60" spans="1:10" x14ac:dyDescent="0.2">
      <c r="F60" s="131"/>
    </row>
    <row r="61" spans="1:10" x14ac:dyDescent="0.2">
      <c r="A61" s="521" t="s">
        <v>588</v>
      </c>
      <c r="B61" s="1131" t="s">
        <v>243</v>
      </c>
      <c r="C61" s="1131"/>
      <c r="D61" s="1131"/>
      <c r="E61" s="525"/>
      <c r="F61" s="131"/>
    </row>
    <row r="62" spans="1:10" ht="15" x14ac:dyDescent="0.25">
      <c r="B62" s="525"/>
      <c r="C62" s="526" t="s">
        <v>628</v>
      </c>
      <c r="D62" s="525" t="s">
        <v>629</v>
      </c>
      <c r="E62" s="525"/>
      <c r="F62" s="552">
        <f>Ent_Geral!D73</f>
        <v>8.875</v>
      </c>
      <c r="H62" s="29" t="s">
        <v>68</v>
      </c>
      <c r="J62" s="528"/>
    </row>
    <row r="63" spans="1:10" ht="15" x14ac:dyDescent="0.25">
      <c r="B63" s="525"/>
      <c r="C63" s="526" t="s">
        <v>631</v>
      </c>
      <c r="D63" s="525" t="s">
        <v>630</v>
      </c>
      <c r="E63" s="525"/>
      <c r="F63" s="552">
        <f>Ent_Geral!D74</f>
        <v>3.7150000000000003</v>
      </c>
      <c r="H63" s="29" t="s">
        <v>68</v>
      </c>
      <c r="J63" s="528"/>
    </row>
    <row r="64" spans="1:10" ht="15" x14ac:dyDescent="0.25">
      <c r="C64" s="526" t="s">
        <v>632</v>
      </c>
      <c r="D64" s="1131" t="s">
        <v>243</v>
      </c>
      <c r="E64" s="1132"/>
      <c r="F64" s="553">
        <f>(F62-F63/2)</f>
        <v>7.0175000000000001</v>
      </c>
      <c r="G64" s="28"/>
      <c r="H64" s="29" t="s">
        <v>68</v>
      </c>
      <c r="J64" s="528"/>
    </row>
    <row r="65" spans="1:14" x14ac:dyDescent="0.2">
      <c r="F65" s="131"/>
    </row>
    <row r="66" spans="1:14" x14ac:dyDescent="0.2">
      <c r="A66" s="521" t="s">
        <v>589</v>
      </c>
      <c r="B66" s="522" t="s">
        <v>143</v>
      </c>
      <c r="F66" s="131"/>
      <c r="N66" s="538"/>
    </row>
    <row r="67" spans="1:14" ht="21" customHeight="1" x14ac:dyDescent="0.25">
      <c r="A67" s="545"/>
      <c r="B67" s="546"/>
      <c r="C67" s="529" t="s">
        <v>633</v>
      </c>
      <c r="D67" s="1133" t="s">
        <v>176</v>
      </c>
      <c r="E67" s="1134"/>
      <c r="F67" s="550">
        <f>Ent_Geral!D77</f>
        <v>260647.2</v>
      </c>
      <c r="G67" s="30"/>
      <c r="H67" s="29" t="s">
        <v>20</v>
      </c>
      <c r="J67" s="551"/>
    </row>
    <row r="68" spans="1:14" ht="15" x14ac:dyDescent="0.25">
      <c r="C68" s="529" t="s">
        <v>634</v>
      </c>
      <c r="D68" s="1131" t="s">
        <v>177</v>
      </c>
      <c r="E68" s="1132"/>
      <c r="F68" s="533">
        <f>Ent_Geral!D78</f>
        <v>262382.87</v>
      </c>
      <c r="H68" s="29" t="s">
        <v>20</v>
      </c>
      <c r="J68" s="551"/>
    </row>
    <row r="69" spans="1:14" ht="15" x14ac:dyDescent="0.25">
      <c r="A69" s="545"/>
      <c r="C69" s="529" t="s">
        <v>635</v>
      </c>
      <c r="D69" s="1131" t="s">
        <v>227</v>
      </c>
      <c r="E69" s="1132"/>
      <c r="F69" s="554">
        <f>Ent_Geral!D79</f>
        <v>25</v>
      </c>
      <c r="G69" s="30"/>
      <c r="H69" s="29" t="s">
        <v>140</v>
      </c>
      <c r="J69" s="530"/>
    </row>
    <row r="70" spans="1:14" ht="15" x14ac:dyDescent="0.25">
      <c r="A70" s="545"/>
      <c r="C70" s="529" t="s">
        <v>636</v>
      </c>
      <c r="D70" s="1131" t="s">
        <v>376</v>
      </c>
      <c r="E70" s="1132"/>
      <c r="F70" s="554">
        <f>Ent_Geral!D80</f>
        <v>10</v>
      </c>
      <c r="G70" s="30"/>
      <c r="H70" s="29" t="s">
        <v>68</v>
      </c>
      <c r="J70" s="530"/>
    </row>
    <row r="71" spans="1:14" ht="15" x14ac:dyDescent="0.25">
      <c r="C71" s="529" t="s">
        <v>637</v>
      </c>
      <c r="D71" s="1131" t="s">
        <v>178</v>
      </c>
      <c r="E71" s="1132"/>
      <c r="F71" s="533">
        <f>Ent_Geral!D81</f>
        <v>89438.01</v>
      </c>
      <c r="H71" s="29" t="s">
        <v>20</v>
      </c>
      <c r="J71" s="551"/>
      <c r="N71" s="538"/>
    </row>
    <row r="72" spans="1:14" ht="15" x14ac:dyDescent="0.25">
      <c r="C72" s="529" t="s">
        <v>638</v>
      </c>
      <c r="D72" s="1131" t="s">
        <v>228</v>
      </c>
      <c r="E72" s="1132"/>
      <c r="F72" s="554">
        <f>Ent_Geral!D82</f>
        <v>10</v>
      </c>
      <c r="G72" s="30"/>
      <c r="H72" s="29" t="s">
        <v>140</v>
      </c>
      <c r="J72" s="530"/>
      <c r="N72" s="538"/>
    </row>
    <row r="73" spans="1:14" ht="15" x14ac:dyDescent="0.25">
      <c r="C73" s="529" t="s">
        <v>639</v>
      </c>
      <c r="D73" s="1131" t="s">
        <v>742</v>
      </c>
      <c r="E73" s="1132"/>
      <c r="F73" s="554">
        <f>Ent_Geral!D83</f>
        <v>0</v>
      </c>
      <c r="G73" s="30"/>
      <c r="H73" s="29" t="s">
        <v>68</v>
      </c>
      <c r="J73" s="530"/>
    </row>
    <row r="74" spans="1:14" ht="15" x14ac:dyDescent="0.25">
      <c r="C74" s="529" t="s">
        <v>640</v>
      </c>
      <c r="D74" s="555" t="s">
        <v>739</v>
      </c>
      <c r="E74" s="556"/>
      <c r="F74" s="550">
        <f>Ent_Geral!D84</f>
        <v>325683.59999999998</v>
      </c>
      <c r="G74" s="30"/>
      <c r="H74" s="29" t="s">
        <v>20</v>
      </c>
      <c r="J74" s="551"/>
    </row>
    <row r="75" spans="1:14" ht="15" x14ac:dyDescent="0.25">
      <c r="C75" s="529" t="s">
        <v>641</v>
      </c>
      <c r="D75" s="555" t="s">
        <v>643</v>
      </c>
      <c r="E75" s="556"/>
      <c r="F75" s="554">
        <f>Ent_Geral!D85</f>
        <v>5</v>
      </c>
      <c r="G75" s="30"/>
      <c r="H75" s="29" t="s">
        <v>140</v>
      </c>
      <c r="J75" s="530"/>
    </row>
    <row r="76" spans="1:14" ht="15" x14ac:dyDescent="0.25">
      <c r="C76" s="529" t="s">
        <v>642</v>
      </c>
      <c r="D76" s="555" t="s">
        <v>644</v>
      </c>
      <c r="E76" s="556"/>
      <c r="F76" s="554">
        <f>Ent_Geral!D86</f>
        <v>0</v>
      </c>
      <c r="G76" s="30"/>
      <c r="H76" s="29" t="s">
        <v>68</v>
      </c>
      <c r="J76" s="530"/>
    </row>
    <row r="78" spans="1:14" x14ac:dyDescent="0.2">
      <c r="A78" s="521" t="s">
        <v>590</v>
      </c>
      <c r="B78" s="522" t="s">
        <v>153</v>
      </c>
      <c r="F78" s="131"/>
    </row>
    <row r="79" spans="1:14" s="548" customFormat="1" ht="50.25" customHeight="1" x14ac:dyDescent="0.2">
      <c r="A79" s="545"/>
      <c r="B79" s="546"/>
      <c r="C79" s="529" t="s">
        <v>647</v>
      </c>
      <c r="D79" s="1133" t="s">
        <v>183</v>
      </c>
      <c r="E79" s="1134"/>
      <c r="F79" s="550">
        <f>Ent_Geral!D89</f>
        <v>3800</v>
      </c>
      <c r="G79" s="30"/>
      <c r="H79" s="100" t="s">
        <v>152</v>
      </c>
      <c r="I79" s="547"/>
      <c r="J79" s="551"/>
    </row>
    <row r="80" spans="1:14" s="548" customFormat="1" ht="26.25" customHeight="1" x14ac:dyDescent="0.2">
      <c r="A80" s="545"/>
      <c r="B80" s="546"/>
      <c r="C80" s="529" t="s">
        <v>648</v>
      </c>
      <c r="D80" s="1133" t="s">
        <v>179</v>
      </c>
      <c r="E80" s="1134"/>
      <c r="F80" s="550">
        <f>Ent_Geral!D90</f>
        <v>0</v>
      </c>
      <c r="G80" s="30"/>
      <c r="H80" s="100" t="s">
        <v>154</v>
      </c>
      <c r="I80" s="547"/>
      <c r="J80" s="551"/>
    </row>
    <row r="81" spans="1:10" s="548" customFormat="1" ht="24.75" customHeight="1" x14ac:dyDescent="0.2">
      <c r="A81" s="545"/>
      <c r="B81" s="546"/>
      <c r="C81" s="529" t="s">
        <v>649</v>
      </c>
      <c r="D81" s="1133" t="s">
        <v>180</v>
      </c>
      <c r="E81" s="1134"/>
      <c r="F81" s="550">
        <f>Ent_Geral!D91</f>
        <v>2757.6</v>
      </c>
      <c r="G81" s="30"/>
      <c r="H81" s="100" t="s">
        <v>151</v>
      </c>
      <c r="I81" s="547"/>
      <c r="J81" s="551"/>
    </row>
    <row r="82" spans="1:10" s="548" customFormat="1" ht="24.75" customHeight="1" x14ac:dyDescent="0.2">
      <c r="A82" s="545"/>
      <c r="B82" s="546"/>
      <c r="C82" s="529" t="s">
        <v>650</v>
      </c>
      <c r="D82" s="1133" t="s">
        <v>181</v>
      </c>
      <c r="E82" s="1134"/>
      <c r="F82" s="550">
        <f>Ent_Geral!D92</f>
        <v>11</v>
      </c>
      <c r="G82" s="30"/>
      <c r="H82" s="100" t="s">
        <v>155</v>
      </c>
      <c r="I82" s="547"/>
      <c r="J82" s="551"/>
    </row>
    <row r="83" spans="1:10" s="548" customFormat="1" ht="24.75" customHeight="1" x14ac:dyDescent="0.2">
      <c r="A83" s="545"/>
      <c r="B83" s="546"/>
      <c r="C83" s="529" t="s">
        <v>651</v>
      </c>
      <c r="D83" s="1133" t="s">
        <v>182</v>
      </c>
      <c r="E83" s="1134"/>
      <c r="F83" s="550">
        <f>Ent_Geral!D93</f>
        <v>0</v>
      </c>
      <c r="G83" s="30"/>
      <c r="H83" s="100" t="s">
        <v>152</v>
      </c>
      <c r="I83" s="547"/>
      <c r="J83" s="551"/>
    </row>
    <row r="84" spans="1:10" ht="15" x14ac:dyDescent="0.25">
      <c r="C84" s="529" t="s">
        <v>744</v>
      </c>
      <c r="D84" s="522" t="s">
        <v>646</v>
      </c>
      <c r="F84" s="550">
        <f>Ent_Geral!D94</f>
        <v>2900</v>
      </c>
      <c r="G84" s="30"/>
      <c r="H84" s="29" t="s">
        <v>152</v>
      </c>
      <c r="J84" s="551"/>
    </row>
    <row r="85" spans="1:10" ht="15" x14ac:dyDescent="0.25">
      <c r="C85" s="529"/>
      <c r="F85" s="29"/>
      <c r="G85" s="29"/>
      <c r="H85" s="29"/>
      <c r="J85" s="551"/>
    </row>
    <row r="86" spans="1:10" x14ac:dyDescent="0.2">
      <c r="A86" s="521" t="s">
        <v>591</v>
      </c>
      <c r="B86" s="522" t="s">
        <v>358</v>
      </c>
      <c r="F86" s="131"/>
    </row>
    <row r="87" spans="1:10" s="548" customFormat="1" ht="28.5" customHeight="1" x14ac:dyDescent="0.2">
      <c r="A87" s="545"/>
      <c r="B87" s="546"/>
      <c r="C87" s="546" t="s">
        <v>652</v>
      </c>
      <c r="D87" s="1133" t="s">
        <v>359</v>
      </c>
      <c r="E87" s="1134"/>
      <c r="F87" s="557">
        <f>Ent_Geral!D97</f>
        <v>2.82</v>
      </c>
      <c r="G87" s="30"/>
      <c r="H87" s="100" t="s">
        <v>68</v>
      </c>
      <c r="I87" s="547"/>
      <c r="J87" s="530"/>
    </row>
    <row r="89" spans="1:10" ht="15" x14ac:dyDescent="0.25">
      <c r="A89" s="521" t="s">
        <v>592</v>
      </c>
      <c r="B89" s="522" t="s">
        <v>429</v>
      </c>
      <c r="F89" s="554">
        <f>Ent_Geral!D102</f>
        <v>99200</v>
      </c>
      <c r="H89" s="29" t="s">
        <v>151</v>
      </c>
      <c r="J89" s="530"/>
    </row>
    <row r="91" spans="1:10" x14ac:dyDescent="0.2">
      <c r="A91" s="521" t="s">
        <v>593</v>
      </c>
      <c r="B91" s="522" t="s">
        <v>746</v>
      </c>
      <c r="F91" s="131"/>
    </row>
    <row r="92" spans="1:10" s="548" customFormat="1" ht="23.25" customHeight="1" x14ac:dyDescent="0.2">
      <c r="A92" s="545"/>
      <c r="B92" s="546"/>
      <c r="C92" s="529" t="s">
        <v>653</v>
      </c>
      <c r="D92" s="1133" t="s">
        <v>187</v>
      </c>
      <c r="E92" s="1134"/>
      <c r="F92" s="558">
        <f>Ent_Geral!D105</f>
        <v>5</v>
      </c>
      <c r="G92" s="30"/>
      <c r="H92" s="100" t="s">
        <v>68</v>
      </c>
      <c r="I92" s="547"/>
      <c r="J92" s="551"/>
    </row>
    <row r="93" spans="1:10" s="548" customFormat="1" ht="15" x14ac:dyDescent="0.2">
      <c r="A93" s="545"/>
      <c r="B93" s="546"/>
      <c r="C93" s="529" t="s">
        <v>654</v>
      </c>
      <c r="D93" s="1133" t="s">
        <v>188</v>
      </c>
      <c r="E93" s="1134"/>
      <c r="F93" s="558">
        <f>Ent_Geral!D106</f>
        <v>0</v>
      </c>
      <c r="G93" s="30"/>
      <c r="H93" s="100" t="s">
        <v>68</v>
      </c>
      <c r="I93" s="547"/>
      <c r="J93" s="551"/>
    </row>
    <row r="94" spans="1:10" s="548" customFormat="1" ht="24.75" customHeight="1" x14ac:dyDescent="0.2">
      <c r="A94" s="545"/>
      <c r="B94" s="546"/>
      <c r="C94" s="529" t="s">
        <v>655</v>
      </c>
      <c r="D94" s="1133" t="s">
        <v>190</v>
      </c>
      <c r="E94" s="1134"/>
      <c r="F94" s="558">
        <f>Ent_Geral!D107</f>
        <v>0</v>
      </c>
      <c r="G94" s="30"/>
      <c r="H94" s="100" t="s">
        <v>68</v>
      </c>
      <c r="I94" s="547"/>
      <c r="J94" s="551"/>
    </row>
    <row r="95" spans="1:10" s="548" customFormat="1" ht="24.75" customHeight="1" x14ac:dyDescent="0.2">
      <c r="A95" s="545"/>
      <c r="B95" s="546"/>
      <c r="C95" s="529" t="s">
        <v>656</v>
      </c>
      <c r="D95" s="1133" t="s">
        <v>189</v>
      </c>
      <c r="E95" s="1134"/>
      <c r="F95" s="558">
        <f>Ent_Geral!D108</f>
        <v>0</v>
      </c>
      <c r="G95" s="30"/>
      <c r="H95" s="100" t="s">
        <v>68</v>
      </c>
      <c r="I95" s="547"/>
      <c r="J95" s="551"/>
    </row>
    <row r="96" spans="1:10" s="548" customFormat="1" ht="15" x14ac:dyDescent="0.2">
      <c r="A96" s="545"/>
      <c r="B96" s="546"/>
      <c r="C96" s="529" t="s">
        <v>657</v>
      </c>
      <c r="D96" s="1133" t="s">
        <v>191</v>
      </c>
      <c r="E96" s="1134"/>
      <c r="F96" s="558">
        <f>Ent_Geral!D109</f>
        <v>1</v>
      </c>
      <c r="G96" s="30"/>
      <c r="H96" s="100" t="s">
        <v>68</v>
      </c>
      <c r="I96" s="547"/>
      <c r="J96" s="551"/>
    </row>
    <row r="97" spans="1:10" s="548" customFormat="1" ht="15" x14ac:dyDescent="0.2">
      <c r="A97" s="545"/>
      <c r="B97" s="546"/>
      <c r="C97" s="529" t="s">
        <v>658</v>
      </c>
      <c r="D97" s="1133" t="s">
        <v>192</v>
      </c>
      <c r="E97" s="1134"/>
      <c r="F97" s="558">
        <f>Ent_Geral!D110</f>
        <v>0</v>
      </c>
      <c r="G97" s="30"/>
      <c r="H97" s="100" t="s">
        <v>68</v>
      </c>
      <c r="I97" s="547"/>
      <c r="J97" s="551"/>
    </row>
    <row r="98" spans="1:10" s="548" customFormat="1" ht="15" x14ac:dyDescent="0.2">
      <c r="A98" s="545"/>
      <c r="B98" s="546"/>
      <c r="C98" s="529" t="s">
        <v>659</v>
      </c>
      <c r="D98" s="1133" t="s">
        <v>193</v>
      </c>
      <c r="E98" s="1134"/>
      <c r="F98" s="558">
        <f>Ent_Geral!D111</f>
        <v>0</v>
      </c>
      <c r="G98" s="30"/>
      <c r="H98" s="100" t="s">
        <v>68</v>
      </c>
      <c r="I98" s="547"/>
      <c r="J98" s="551"/>
    </row>
    <row r="100" spans="1:10" ht="15" x14ac:dyDescent="0.2">
      <c r="A100" s="521" t="s">
        <v>593</v>
      </c>
      <c r="B100" s="522" t="s">
        <v>1066</v>
      </c>
      <c r="F100" s="100"/>
    </row>
    <row r="101" spans="1:10" ht="15" x14ac:dyDescent="0.2">
      <c r="C101" s="529" t="s">
        <v>653</v>
      </c>
      <c r="D101" s="1137" t="s">
        <v>1065</v>
      </c>
      <c r="E101" s="1138"/>
      <c r="F101" s="559">
        <f>Ent_Geral!D113</f>
        <v>4059.4066902335203</v>
      </c>
      <c r="G101" s="30"/>
      <c r="H101" s="100" t="s">
        <v>152</v>
      </c>
      <c r="I101" s="547"/>
      <c r="J101" s="551"/>
    </row>
  </sheetData>
  <sheetProtection algorithmName="SHA-512" hashValue="APBq4FG/RtU1iRmY6jLzhkhwlshR3uF8TnAsxRZHFn+fs6xzJPn4sw75abQcH7G7TDpqHjCfy5V0DCjMfjDw5Q==" saltValue="xiFwRl9JEeha+PegUoohSg==" spinCount="100000" sheet="1" objects="1" scenarios="1"/>
  <mergeCells count="57">
    <mergeCell ref="D12:E12"/>
    <mergeCell ref="D11:E11"/>
    <mergeCell ref="D24:E24"/>
    <mergeCell ref="D27:E27"/>
    <mergeCell ref="D50:E50"/>
    <mergeCell ref="D39:E39"/>
    <mergeCell ref="D40:E40"/>
    <mergeCell ref="D43:E43"/>
    <mergeCell ref="D44:E44"/>
    <mergeCell ref="D101:E101"/>
    <mergeCell ref="D33:E33"/>
    <mergeCell ref="D37:E37"/>
    <mergeCell ref="D98:E98"/>
    <mergeCell ref="D87:E87"/>
    <mergeCell ref="D92:E92"/>
    <mergeCell ref="D93:E93"/>
    <mergeCell ref="D94:E94"/>
    <mergeCell ref="D47:E47"/>
    <mergeCell ref="D96:E96"/>
    <mergeCell ref="D95:E95"/>
    <mergeCell ref="D70:E70"/>
    <mergeCell ref="D73:E73"/>
    <mergeCell ref="D46:E46"/>
    <mergeCell ref="D52:E52"/>
    <mergeCell ref="D53:E53"/>
    <mergeCell ref="C18:C20"/>
    <mergeCell ref="D42:E42"/>
    <mergeCell ref="D18:D20"/>
    <mergeCell ref="B4:D4"/>
    <mergeCell ref="B7:D7"/>
    <mergeCell ref="D8:E8"/>
    <mergeCell ref="D5:E5"/>
    <mergeCell ref="D15:D17"/>
    <mergeCell ref="C15:C17"/>
    <mergeCell ref="D30:E30"/>
    <mergeCell ref="D31:E31"/>
    <mergeCell ref="D32:E32"/>
    <mergeCell ref="D38:E38"/>
    <mergeCell ref="D34:E34"/>
    <mergeCell ref="D35:E35"/>
    <mergeCell ref="D36:E36"/>
    <mergeCell ref="D51:E51"/>
    <mergeCell ref="D97:E97"/>
    <mergeCell ref="D56:E56"/>
    <mergeCell ref="D57:E57"/>
    <mergeCell ref="D83:E83"/>
    <mergeCell ref="D72:E72"/>
    <mergeCell ref="D69:E69"/>
    <mergeCell ref="D82:E82"/>
    <mergeCell ref="D64:E64"/>
    <mergeCell ref="D67:E67"/>
    <mergeCell ref="D68:E68"/>
    <mergeCell ref="D71:E71"/>
    <mergeCell ref="D80:E80"/>
    <mergeCell ref="D81:E81"/>
    <mergeCell ref="B61:D61"/>
    <mergeCell ref="D79:E79"/>
  </mergeCells>
  <pageMargins left="0.51181102362204722" right="0.31496062992125984" top="1.1811023622047245" bottom="0.78740157480314965" header="0.31496062992125984" footer="0.31496062992125984"/>
  <pageSetup paperSize="9" scale="86" fitToHeight="2" orientation="portrait" r:id="rId1"/>
  <rowBreaks count="1" manualBreakCount="1">
    <brk id="54"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06789-329D-4A86-8150-E2853763869A}">
  <sheetPr>
    <tabColor rgb="FF92D050"/>
    <pageSetUpPr fitToPage="1"/>
  </sheetPr>
  <dimension ref="A1:T85"/>
  <sheetViews>
    <sheetView view="pageBreakPreview" topLeftCell="A51" zoomScale="85" zoomScaleNormal="100" zoomScaleSheetLayoutView="85" workbookViewId="0">
      <selection activeCell="K6" sqref="K6"/>
    </sheetView>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1.5703125" style="34" bestFit="1" customWidth="1"/>
    <col min="9" max="9" width="11.42578125" customWidth="1"/>
    <col min="10" max="10" width="1.7109375" customWidth="1"/>
    <col min="11" max="11" width="11.7109375" bestFit="1" customWidth="1"/>
    <col min="12" max="12" width="38.7109375" bestFit="1" customWidth="1"/>
    <col min="13" max="13" width="1.28515625" customWidth="1"/>
    <col min="14" max="14" width="10.28515625" bestFit="1" customWidth="1"/>
    <col min="15" max="15" width="13.7109375" bestFit="1" customWidth="1"/>
    <col min="16" max="16" width="17.7109375" customWidth="1"/>
    <col min="17" max="17" width="11.42578125" customWidth="1"/>
    <col min="18" max="18" width="11.7109375" bestFit="1" customWidth="1"/>
  </cols>
  <sheetData>
    <row r="1" spans="1:16" ht="15" x14ac:dyDescent="0.25">
      <c r="B1" s="560" t="s">
        <v>1182</v>
      </c>
    </row>
    <row r="3" spans="1:16" x14ac:dyDescent="0.2">
      <c r="A3" s="588">
        <v>2</v>
      </c>
      <c r="B3" s="1139" t="s">
        <v>1199</v>
      </c>
      <c r="C3" s="1139"/>
      <c r="D3" s="1139"/>
      <c r="E3" s="1139"/>
    </row>
    <row r="4" spans="1:16" x14ac:dyDescent="0.2">
      <c r="A4" s="588"/>
      <c r="B4" s="588"/>
      <c r="C4" s="588"/>
      <c r="D4" s="588"/>
      <c r="E4" s="588"/>
    </row>
    <row r="5" spans="1:16" s="26" customFormat="1" x14ac:dyDescent="0.2">
      <c r="A5" s="26" t="s">
        <v>540</v>
      </c>
      <c r="B5" s="26" t="s">
        <v>184</v>
      </c>
      <c r="F5" s="45" t="s">
        <v>20</v>
      </c>
      <c r="G5" s="1141">
        <f>'ANTP_2.1. Custo Variável'!E3</f>
        <v>204012.0956464</v>
      </c>
      <c r="H5" s="1142"/>
    </row>
    <row r="6" spans="1:16" x14ac:dyDescent="0.2">
      <c r="A6" s="31"/>
      <c r="F6"/>
      <c r="H6"/>
    </row>
    <row r="7" spans="1:16" x14ac:dyDescent="0.2">
      <c r="A7" s="31"/>
      <c r="B7" s="18" t="s">
        <v>541</v>
      </c>
      <c r="C7" s="1143" t="s">
        <v>73</v>
      </c>
      <c r="D7" s="1143"/>
      <c r="E7" s="1143"/>
      <c r="F7" s="54"/>
      <c r="G7" s="32" t="s">
        <v>20</v>
      </c>
      <c r="H7" s="33">
        <f>'ANTP_2.1. Custo Variável'!E5</f>
        <v>112684.79664</v>
      </c>
    </row>
    <row r="8" spans="1:16" x14ac:dyDescent="0.2">
      <c r="A8" s="31"/>
      <c r="B8" s="18" t="s">
        <v>542</v>
      </c>
      <c r="C8" s="1143" t="s">
        <v>51</v>
      </c>
      <c r="D8" s="1143"/>
      <c r="E8" s="1143"/>
      <c r="F8" s="54"/>
      <c r="G8" s="32" t="s">
        <v>20</v>
      </c>
      <c r="H8" s="33">
        <f>'ANTP_2.1. Custo Variável'!E6</f>
        <v>7656.787464</v>
      </c>
    </row>
    <row r="9" spans="1:16" x14ac:dyDescent="0.2">
      <c r="A9" s="31"/>
      <c r="B9" s="18" t="s">
        <v>543</v>
      </c>
      <c r="C9" s="1143" t="s">
        <v>74</v>
      </c>
      <c r="D9" s="1143"/>
      <c r="E9" s="1143"/>
      <c r="F9" s="54"/>
      <c r="G9" s="32" t="s">
        <v>20</v>
      </c>
      <c r="H9" s="33">
        <f>'ANTP_2.1. Custo Variável'!E7</f>
        <v>2813.1012000000005</v>
      </c>
    </row>
    <row r="10" spans="1:16" x14ac:dyDescent="0.2">
      <c r="A10" s="31"/>
      <c r="B10" s="18" t="s">
        <v>544</v>
      </c>
      <c r="C10" s="1143" t="s">
        <v>75</v>
      </c>
      <c r="D10" s="1143"/>
      <c r="E10" s="1143"/>
      <c r="F10" s="54"/>
      <c r="G10" s="32" t="s">
        <v>20</v>
      </c>
      <c r="H10" s="33">
        <f>'ANTP_2.1. Custo Variável'!E8</f>
        <v>9324.4103424000004</v>
      </c>
    </row>
    <row r="11" spans="1:16" x14ac:dyDescent="0.2">
      <c r="A11" s="31"/>
      <c r="B11" s="18" t="s">
        <v>545</v>
      </c>
      <c r="C11" s="1143" t="s">
        <v>76</v>
      </c>
      <c r="D11" s="1143"/>
      <c r="E11" s="1143"/>
      <c r="F11" s="54"/>
      <c r="G11" s="32" t="s">
        <v>20</v>
      </c>
      <c r="H11" s="33">
        <f>'ANTP_2.1. Custo Variável'!E9</f>
        <v>61314.000000000007</v>
      </c>
    </row>
    <row r="12" spans="1:16" x14ac:dyDescent="0.2">
      <c r="A12" s="31"/>
      <c r="B12" s="18" t="s">
        <v>546</v>
      </c>
      <c r="C12" s="1143" t="s">
        <v>69</v>
      </c>
      <c r="D12" s="1143"/>
      <c r="E12" s="1143"/>
      <c r="F12" s="54"/>
      <c r="G12" s="32" t="s">
        <v>20</v>
      </c>
      <c r="H12" s="33">
        <f>'ANTP_2.1. Custo Variável'!E10</f>
        <v>10219</v>
      </c>
    </row>
    <row r="13" spans="1:16" x14ac:dyDescent="0.2">
      <c r="B13"/>
      <c r="C13"/>
      <c r="D13"/>
      <c r="E13"/>
      <c r="F13"/>
      <c r="G13"/>
      <c r="H13"/>
    </row>
    <row r="14" spans="1:16" x14ac:dyDescent="0.2">
      <c r="B14"/>
      <c r="C14"/>
      <c r="D14"/>
      <c r="E14"/>
      <c r="F14"/>
      <c r="G14"/>
      <c r="H14"/>
    </row>
    <row r="15" spans="1:16" x14ac:dyDescent="0.2">
      <c r="A15" s="26" t="s">
        <v>547</v>
      </c>
      <c r="B15" s="1139" t="s">
        <v>185</v>
      </c>
      <c r="C15" s="1139"/>
      <c r="D15" s="1139"/>
      <c r="E15" s="1139"/>
      <c r="F15" s="45" t="s">
        <v>20</v>
      </c>
      <c r="G15" s="1141">
        <f>H17+H24+H32+H36+H44+H45+H46</f>
        <v>190795.01291550623</v>
      </c>
      <c r="H15" s="1142"/>
      <c r="P15" s="34"/>
    </row>
    <row r="17" spans="2:20" x14ac:dyDescent="0.2">
      <c r="B17" s="89" t="s">
        <v>554</v>
      </c>
      <c r="C17" s="1139" t="s">
        <v>93</v>
      </c>
      <c r="D17" s="1139"/>
      <c r="E17" s="1140"/>
      <c r="F17" s="40" t="s">
        <v>20</v>
      </c>
      <c r="G17" s="38"/>
      <c r="H17" s="37">
        <f>SUM(H18:H22)</f>
        <v>40164.184026666662</v>
      </c>
    </row>
    <row r="18" spans="2:20" x14ac:dyDescent="0.2">
      <c r="D18" s="18" t="s">
        <v>548</v>
      </c>
      <c r="E18" s="18" t="s">
        <v>97</v>
      </c>
      <c r="F18" s="41"/>
      <c r="G18" s="39" t="s">
        <v>20</v>
      </c>
      <c r="H18" s="35">
        <f>'ANTP_2.2 Custo Fixo'!H6</f>
        <v>32911.991999999998</v>
      </c>
    </row>
    <row r="19" spans="2:20" x14ac:dyDescent="0.2">
      <c r="D19" s="18" t="s">
        <v>549</v>
      </c>
      <c r="E19" s="18" t="s">
        <v>98</v>
      </c>
      <c r="F19" s="42"/>
      <c r="G19" s="39" t="s">
        <v>20</v>
      </c>
      <c r="H19" s="35">
        <f>'ANTP_2.2 Custo Fixo'!H7</f>
        <v>1532.4653600000001</v>
      </c>
    </row>
    <row r="20" spans="2:20" x14ac:dyDescent="0.2">
      <c r="D20" s="18" t="s">
        <v>550</v>
      </c>
      <c r="E20" s="18" t="s">
        <v>99</v>
      </c>
      <c r="F20" s="42"/>
      <c r="G20" s="39" t="s">
        <v>20</v>
      </c>
      <c r="H20" s="35">
        <f>'ANTP_2.2 Custo Fixo'!H8</f>
        <v>5428.0599999999995</v>
      </c>
      <c r="P20" s="34"/>
    </row>
    <row r="21" spans="2:20" x14ac:dyDescent="0.2">
      <c r="D21" s="18" t="s">
        <v>551</v>
      </c>
      <c r="E21" s="18" t="s">
        <v>100</v>
      </c>
      <c r="F21" s="42"/>
      <c r="G21" s="39" t="s">
        <v>20</v>
      </c>
      <c r="H21" s="35">
        <f>'ANTP_2.2 Custo Fixo'!H9</f>
        <v>0</v>
      </c>
      <c r="P21" s="34"/>
    </row>
    <row r="22" spans="2:20" x14ac:dyDescent="0.2">
      <c r="D22" s="18" t="s">
        <v>552</v>
      </c>
      <c r="E22" s="18" t="s">
        <v>101</v>
      </c>
      <c r="F22" s="43"/>
      <c r="G22" s="39" t="s">
        <v>20</v>
      </c>
      <c r="H22" s="35">
        <f>'ANTP_2.2 Custo Fixo'!H10</f>
        <v>291.66666666666669</v>
      </c>
      <c r="P22" s="34"/>
    </row>
    <row r="23" spans="2:20" x14ac:dyDescent="0.2">
      <c r="F23" s="19"/>
      <c r="G23" s="19"/>
    </row>
    <row r="24" spans="2:20" x14ac:dyDescent="0.2">
      <c r="B24" s="89" t="s">
        <v>553</v>
      </c>
      <c r="C24" s="1139" t="s">
        <v>561</v>
      </c>
      <c r="D24" s="1139"/>
      <c r="E24" s="1140"/>
      <c r="F24" s="40" t="s">
        <v>20</v>
      </c>
      <c r="G24" s="38"/>
      <c r="H24" s="59">
        <f>SUM(H25:H30)</f>
        <v>14937.255838803025</v>
      </c>
      <c r="I24" s="58"/>
      <c r="J24" s="58"/>
      <c r="K24" s="58"/>
      <c r="L24" s="58"/>
      <c r="R24" s="34"/>
      <c r="T24" s="58"/>
    </row>
    <row r="25" spans="2:20" x14ac:dyDescent="0.2">
      <c r="D25" s="18" t="s">
        <v>555</v>
      </c>
      <c r="E25" s="18" t="s">
        <v>102</v>
      </c>
      <c r="F25" s="41"/>
      <c r="G25" s="39" t="s">
        <v>20</v>
      </c>
      <c r="H25" s="35">
        <f>'ANTP_2.2 Custo Fixo'!H13</f>
        <v>10612.560996969691</v>
      </c>
    </row>
    <row r="26" spans="2:20" x14ac:dyDescent="0.2">
      <c r="D26" s="18" t="s">
        <v>556</v>
      </c>
      <c r="E26" s="18" t="s">
        <v>103</v>
      </c>
      <c r="F26" s="42"/>
      <c r="G26" s="39" t="s">
        <v>20</v>
      </c>
      <c r="H26" s="35">
        <f>'ANTP_2.2 Custo Fixo'!H14</f>
        <v>2552.952698916667</v>
      </c>
    </row>
    <row r="27" spans="2:20" x14ac:dyDescent="0.2">
      <c r="D27" s="18" t="s">
        <v>557</v>
      </c>
      <c r="E27" s="18" t="s">
        <v>104</v>
      </c>
      <c r="F27" s="42"/>
      <c r="G27" s="39" t="s">
        <v>20</v>
      </c>
      <c r="H27" s="35">
        <f>'ANTP_2.2 Custo Fixo'!H15</f>
        <v>717.11832500000003</v>
      </c>
      <c r="O27" s="64"/>
    </row>
    <row r="28" spans="2:20" x14ac:dyDescent="0.2">
      <c r="D28" s="18" t="s">
        <v>558</v>
      </c>
      <c r="E28" s="18" t="s">
        <v>105</v>
      </c>
      <c r="F28" s="42"/>
      <c r="G28" s="39" t="s">
        <v>20</v>
      </c>
      <c r="H28" s="35">
        <f>'ANTP_2.2 Custo Fixo'!H16</f>
        <v>952.28527625000004</v>
      </c>
      <c r="P28" s="34"/>
    </row>
    <row r="29" spans="2:20" x14ac:dyDescent="0.2">
      <c r="D29" s="18" t="s">
        <v>559</v>
      </c>
      <c r="E29" s="18" t="s">
        <v>106</v>
      </c>
      <c r="F29" s="42"/>
      <c r="G29" s="39" t="s">
        <v>20</v>
      </c>
      <c r="H29" s="35">
        <f>'ANTP_2.2 Custo Fixo'!H17</f>
        <v>0</v>
      </c>
      <c r="P29" s="34"/>
    </row>
    <row r="30" spans="2:20" x14ac:dyDescent="0.2">
      <c r="D30" s="18" t="s">
        <v>560</v>
      </c>
      <c r="E30" s="18" t="s">
        <v>107</v>
      </c>
      <c r="F30" s="43"/>
      <c r="G30" s="39" t="s">
        <v>20</v>
      </c>
      <c r="H30" s="35">
        <f>'ANTP_2.2 Custo Fixo'!H18</f>
        <v>102.33854166666667</v>
      </c>
      <c r="P30" s="34"/>
    </row>
    <row r="31" spans="2:20" x14ac:dyDescent="0.2">
      <c r="F31" s="19"/>
      <c r="G31" s="19"/>
    </row>
    <row r="32" spans="2:20" x14ac:dyDescent="0.2">
      <c r="B32" s="89" t="s">
        <v>563</v>
      </c>
      <c r="C32" s="1139" t="s">
        <v>562</v>
      </c>
      <c r="D32" s="1139"/>
      <c r="E32" s="1140"/>
      <c r="F32" s="40" t="s">
        <v>20</v>
      </c>
      <c r="G32" s="38"/>
      <c r="H32" s="37">
        <f>SUM(H33:H34)</f>
        <v>114781.2138833699</v>
      </c>
    </row>
    <row r="33" spans="2:16" x14ac:dyDescent="0.2">
      <c r="D33" s="18" t="s">
        <v>564</v>
      </c>
      <c r="E33" s="18" t="s">
        <v>108</v>
      </c>
      <c r="F33" s="41"/>
      <c r="G33" s="39" t="s">
        <v>20</v>
      </c>
      <c r="H33" s="35">
        <f>'ANTP_2.2 Custo Fixo'!H21</f>
        <v>74533.255768422008</v>
      </c>
      <c r="N33" s="56"/>
      <c r="P33" s="55"/>
    </row>
    <row r="34" spans="2:16" x14ac:dyDescent="0.2">
      <c r="D34" s="18" t="s">
        <v>565</v>
      </c>
      <c r="E34" s="18" t="s">
        <v>109</v>
      </c>
      <c r="F34" s="43"/>
      <c r="G34" s="39" t="s">
        <v>20</v>
      </c>
      <c r="H34" s="35">
        <f>'ANTP_2.2 Custo Fixo'!H22</f>
        <v>40247.958114947884</v>
      </c>
    </row>
    <row r="35" spans="2:16" x14ac:dyDescent="0.2">
      <c r="F35" s="19"/>
      <c r="G35" s="19"/>
      <c r="N35" s="55"/>
    </row>
    <row r="36" spans="2:16" x14ac:dyDescent="0.2">
      <c r="B36" s="26" t="s">
        <v>566</v>
      </c>
      <c r="C36" s="1139" t="s">
        <v>94</v>
      </c>
      <c r="D36" s="1139"/>
      <c r="E36" s="1140"/>
      <c r="F36" s="40" t="s">
        <v>20</v>
      </c>
      <c r="G36" s="38"/>
      <c r="H36" s="37">
        <f>SUM(H37:H41)</f>
        <v>15484.559166666668</v>
      </c>
    </row>
    <row r="37" spans="2:16" x14ac:dyDescent="0.2">
      <c r="D37" s="18" t="s">
        <v>567</v>
      </c>
      <c r="E37" s="18" t="s">
        <v>110</v>
      </c>
      <c r="F37" s="41"/>
      <c r="G37" s="39" t="s">
        <v>20</v>
      </c>
      <c r="H37" s="35">
        <f>'ANTP_2.2 Custo Fixo'!H25</f>
        <v>8266.6666666666661</v>
      </c>
    </row>
    <row r="38" spans="2:16" x14ac:dyDescent="0.2">
      <c r="D38" s="18" t="s">
        <v>568</v>
      </c>
      <c r="E38" s="18" t="s">
        <v>111</v>
      </c>
      <c r="F38" s="42"/>
      <c r="G38" s="39" t="s">
        <v>20</v>
      </c>
      <c r="H38" s="35">
        <f>'ANTP_2.2 Custo Fixo'!H26</f>
        <v>195.99249999999998</v>
      </c>
    </row>
    <row r="39" spans="2:16" x14ac:dyDescent="0.2">
      <c r="D39" s="18" t="s">
        <v>569</v>
      </c>
      <c r="E39" s="18" t="s">
        <v>112</v>
      </c>
      <c r="F39" s="42"/>
      <c r="G39" s="39" t="s">
        <v>20</v>
      </c>
      <c r="H39" s="35">
        <f>'ANTP_2.2 Custo Fixo'!H27</f>
        <v>2200</v>
      </c>
    </row>
    <row r="40" spans="2:16" x14ac:dyDescent="0.2">
      <c r="D40" s="18" t="s">
        <v>570</v>
      </c>
      <c r="E40" s="18" t="s">
        <v>113</v>
      </c>
      <c r="F40" s="42"/>
      <c r="G40" s="39" t="s">
        <v>20</v>
      </c>
      <c r="H40" s="35">
        <f>'ANTP_2.2 Custo Fixo'!H28</f>
        <v>1021.9000000000009</v>
      </c>
    </row>
    <row r="41" spans="2:16" x14ac:dyDescent="0.2">
      <c r="D41" s="18" t="s">
        <v>571</v>
      </c>
      <c r="E41" s="18" t="s">
        <v>576</v>
      </c>
      <c r="F41" s="43"/>
      <c r="G41" s="39" t="s">
        <v>20</v>
      </c>
      <c r="H41" s="35">
        <f>'ANTP_2.2 Custo Fixo'!H29</f>
        <v>3800</v>
      </c>
    </row>
    <row r="42" spans="2:16" x14ac:dyDescent="0.2">
      <c r="F42" s="19"/>
      <c r="G42" s="19"/>
    </row>
    <row r="43" spans="2:16" s="44" customFormat="1" x14ac:dyDescent="0.2"/>
    <row r="44" spans="2:16" x14ac:dyDescent="0.2">
      <c r="B44" s="89" t="s">
        <v>572</v>
      </c>
      <c r="C44" s="1139" t="s">
        <v>95</v>
      </c>
      <c r="D44" s="1139"/>
      <c r="E44" s="1140"/>
      <c r="F44" s="36" t="s">
        <v>20</v>
      </c>
      <c r="G44" s="38"/>
      <c r="H44" s="37">
        <f>'ANTP_2.2 Custo Fixo'!H32</f>
        <v>2527.7999999999997</v>
      </c>
    </row>
    <row r="45" spans="2:16" x14ac:dyDescent="0.2">
      <c r="B45" s="89" t="s">
        <v>573</v>
      </c>
      <c r="C45" s="1139" t="s">
        <v>96</v>
      </c>
      <c r="D45" s="1139"/>
      <c r="E45" s="1140"/>
      <c r="F45" s="36" t="s">
        <v>20</v>
      </c>
      <c r="G45" s="38"/>
      <c r="H45" s="37">
        <f>'ANTP_2.2 Custo Fixo'!H33</f>
        <v>0</v>
      </c>
    </row>
    <row r="46" spans="2:16" s="44" customFormat="1" x14ac:dyDescent="0.2">
      <c r="B46" s="90" t="s">
        <v>574</v>
      </c>
      <c r="C46" s="91" t="s">
        <v>575</v>
      </c>
      <c r="D46" s="92"/>
      <c r="E46" s="92"/>
      <c r="F46" s="36" t="s">
        <v>20</v>
      </c>
      <c r="G46" s="38"/>
      <c r="H46" s="37">
        <f>'ANTP_2.2 Custo Fixo'!H34</f>
        <v>2900</v>
      </c>
    </row>
    <row r="49" spans="1:17" x14ac:dyDescent="0.2">
      <c r="A49" s="26" t="s">
        <v>577</v>
      </c>
      <c r="B49" s="1139" t="s">
        <v>186</v>
      </c>
      <c r="C49" s="1139"/>
      <c r="D49" s="1139"/>
      <c r="E49" s="1139"/>
      <c r="F49" s="45" t="s">
        <v>20</v>
      </c>
      <c r="G49" s="46"/>
      <c r="H49" s="47">
        <f>'ANTP_2.3 RPS'!H3</f>
        <v>11133.560461445757</v>
      </c>
    </row>
    <row r="51" spans="1:17" x14ac:dyDescent="0.2">
      <c r="B51" s="26" t="s">
        <v>578</v>
      </c>
      <c r="C51" s="1139" t="s">
        <v>184</v>
      </c>
      <c r="D51" s="1139"/>
      <c r="E51" s="1140"/>
      <c r="F51" s="40" t="s">
        <v>20</v>
      </c>
      <c r="G51" s="38"/>
      <c r="H51" s="37">
        <f>'ANTP_2.3 RPS'!H5</f>
        <v>204012.0956464</v>
      </c>
    </row>
    <row r="52" spans="1:17" x14ac:dyDescent="0.2">
      <c r="F52" s="19"/>
      <c r="G52" s="19"/>
    </row>
    <row r="53" spans="1:17" x14ac:dyDescent="0.2">
      <c r="B53" s="26" t="s">
        <v>579</v>
      </c>
      <c r="C53" s="1139" t="s">
        <v>185</v>
      </c>
      <c r="D53" s="1139"/>
      <c r="E53" s="1140"/>
      <c r="F53" s="40" t="s">
        <v>20</v>
      </c>
      <c r="G53" s="38"/>
      <c r="H53" s="37">
        <f>'ANTP_2.3 RPS'!H7</f>
        <v>190795.01291550623</v>
      </c>
    </row>
    <row r="54" spans="1:17" x14ac:dyDescent="0.2">
      <c r="F54" s="19"/>
      <c r="G54" s="19"/>
    </row>
    <row r="56" spans="1:17" x14ac:dyDescent="0.2">
      <c r="A56" s="588" t="s">
        <v>1191</v>
      </c>
      <c r="B56" s="1139" t="s">
        <v>194</v>
      </c>
      <c r="C56" s="1139"/>
      <c r="D56" s="1139"/>
      <c r="E56" s="1139"/>
      <c r="F56" s="45" t="s">
        <v>20</v>
      </c>
      <c r="G56" s="46"/>
      <c r="H56" s="47">
        <f>'ANTP_4. Custo Total'!H3</f>
        <v>431851.77555675752</v>
      </c>
      <c r="O56" s="64"/>
      <c r="Q56" s="63"/>
    </row>
    <row r="58" spans="1:17" x14ac:dyDescent="0.2">
      <c r="B58" s="89" t="s">
        <v>1192</v>
      </c>
      <c r="C58" s="1139" t="s">
        <v>184</v>
      </c>
      <c r="D58" s="1139"/>
      <c r="E58" s="1140"/>
      <c r="F58" s="40" t="s">
        <v>20</v>
      </c>
      <c r="G58" s="38"/>
      <c r="H58" s="37">
        <f>'ANTP_4. Custo Total'!H5</f>
        <v>204012.0956464</v>
      </c>
    </row>
    <row r="59" spans="1:17" x14ac:dyDescent="0.2">
      <c r="B59" s="93"/>
      <c r="F59" s="19"/>
      <c r="G59" s="19"/>
    </row>
    <row r="60" spans="1:17" x14ac:dyDescent="0.2">
      <c r="B60" s="89" t="s">
        <v>1193</v>
      </c>
      <c r="C60" s="1139" t="s">
        <v>185</v>
      </c>
      <c r="D60" s="1139"/>
      <c r="E60" s="1140"/>
      <c r="F60" s="40" t="s">
        <v>20</v>
      </c>
      <c r="G60" s="38"/>
      <c r="H60" s="37">
        <f>'ANTP_4. Custo Total'!H7</f>
        <v>190795.01291550623</v>
      </c>
    </row>
    <row r="61" spans="1:17" x14ac:dyDescent="0.2">
      <c r="B61" s="93"/>
      <c r="F61" s="19"/>
      <c r="G61" s="19"/>
    </row>
    <row r="62" spans="1:17" x14ac:dyDescent="0.2">
      <c r="B62" s="89" t="s">
        <v>1194</v>
      </c>
      <c r="C62" s="1139" t="s">
        <v>186</v>
      </c>
      <c r="D62" s="1139"/>
      <c r="E62" s="1140"/>
      <c r="F62" s="40" t="s">
        <v>20</v>
      </c>
      <c r="G62" s="38"/>
      <c r="H62" s="37">
        <f>'ANTP_4. Custo Total'!H9</f>
        <v>11133.560461445757</v>
      </c>
    </row>
    <row r="63" spans="1:17" x14ac:dyDescent="0.2">
      <c r="B63" s="93"/>
      <c r="F63" s="19"/>
      <c r="G63" s="19"/>
    </row>
    <row r="64" spans="1:17" x14ac:dyDescent="0.2">
      <c r="B64" s="89" t="s">
        <v>1195</v>
      </c>
      <c r="C64" s="1139" t="s">
        <v>747</v>
      </c>
      <c r="D64" s="1139"/>
      <c r="E64" s="1140"/>
      <c r="F64" s="40"/>
      <c r="G64" s="38"/>
      <c r="H64" s="593">
        <f>'ANTP_4. Custo Total'!H11</f>
        <v>0.06</v>
      </c>
    </row>
    <row r="67" spans="1:8" x14ac:dyDescent="0.2">
      <c r="A67" s="26" t="s">
        <v>1192</v>
      </c>
      <c r="B67" s="1139" t="s">
        <v>877</v>
      </c>
      <c r="C67" s="1139"/>
      <c r="D67" s="1139"/>
      <c r="E67" s="1139"/>
      <c r="F67" s="45" t="s">
        <v>20</v>
      </c>
      <c r="G67" s="46"/>
      <c r="H67" s="594">
        <f>'ANTP_4.1. Custo Pass. Transp.'!H3</f>
        <v>21.715280110461986</v>
      </c>
    </row>
    <row r="69" spans="1:8" x14ac:dyDescent="0.2">
      <c r="B69" s="26" t="s">
        <v>596</v>
      </c>
      <c r="C69" s="1139" t="s">
        <v>199</v>
      </c>
      <c r="D69" s="1139"/>
      <c r="E69" s="1140"/>
      <c r="F69" s="40" t="s">
        <v>20</v>
      </c>
      <c r="G69" s="38"/>
      <c r="H69" s="595">
        <f>'ANTP_4.1. Custo Pass. Transp.'!H5</f>
        <v>431851.77555675752</v>
      </c>
    </row>
    <row r="70" spans="1:8" x14ac:dyDescent="0.2">
      <c r="F70" s="19"/>
      <c r="G70" s="19"/>
    </row>
    <row r="71" spans="1:8" x14ac:dyDescent="0.2">
      <c r="B71" s="26" t="s">
        <v>597</v>
      </c>
      <c r="C71" s="1139" t="s">
        <v>878</v>
      </c>
      <c r="D71" s="1139"/>
      <c r="E71" s="1140"/>
      <c r="F71" s="40"/>
      <c r="G71" s="38"/>
      <c r="H71" s="596">
        <f>'ANTP_4.1. Custo Pass. Transp.'!H7</f>
        <v>19887</v>
      </c>
    </row>
    <row r="72" spans="1:8" x14ac:dyDescent="0.2">
      <c r="F72" s="19"/>
      <c r="G72" s="19"/>
    </row>
    <row r="74" spans="1:8" x14ac:dyDescent="0.2">
      <c r="A74" s="26" t="s">
        <v>1193</v>
      </c>
      <c r="B74" s="1139" t="s">
        <v>1196</v>
      </c>
      <c r="C74" s="1139"/>
      <c r="D74" s="1139"/>
      <c r="E74" s="1139"/>
      <c r="F74" s="45" t="s">
        <v>20</v>
      </c>
      <c r="G74" s="46"/>
      <c r="H74" s="594">
        <f>'ANTP_4.2. Tarifa Técnica'!H3</f>
        <v>21.511156477423643</v>
      </c>
    </row>
    <row r="76" spans="1:8" x14ac:dyDescent="0.2">
      <c r="B76" s="26" t="s">
        <v>595</v>
      </c>
      <c r="C76" s="1139" t="s">
        <v>199</v>
      </c>
      <c r="D76" s="1139"/>
      <c r="E76" s="1140"/>
      <c r="F76" s="40" t="s">
        <v>20</v>
      </c>
      <c r="G76" s="38"/>
      <c r="H76" s="37">
        <f>'ANTP_4.2. Tarifa Técnica'!H5</f>
        <v>431851.77555675752</v>
      </c>
    </row>
    <row r="77" spans="1:8" x14ac:dyDescent="0.2">
      <c r="F77" s="19"/>
      <c r="G77" s="19"/>
    </row>
    <row r="78" spans="1:8" x14ac:dyDescent="0.2">
      <c r="B78" s="26" t="s">
        <v>1197</v>
      </c>
      <c r="C78" s="1139" t="s">
        <v>200</v>
      </c>
      <c r="D78" s="1139"/>
      <c r="E78" s="1140"/>
      <c r="F78" s="40"/>
      <c r="G78" s="38"/>
      <c r="H78" s="596">
        <f>'ANTP_4.2. Tarifa Técnica'!H7</f>
        <v>19887</v>
      </c>
    </row>
    <row r="79" spans="1:8" x14ac:dyDescent="0.2">
      <c r="F79" s="19"/>
      <c r="G79" s="19"/>
    </row>
    <row r="80" spans="1:8" x14ac:dyDescent="0.2">
      <c r="B80" s="26" t="s">
        <v>1198</v>
      </c>
      <c r="C80" s="1139" t="s">
        <v>1067</v>
      </c>
      <c r="D80" s="1139"/>
      <c r="E80" s="1140"/>
      <c r="F80" s="40" t="s">
        <v>20</v>
      </c>
      <c r="G80" s="38"/>
      <c r="H80" s="37">
        <f>'ANTP_4.2. Tarifa Técnica'!H9</f>
        <v>4059.4066902335203</v>
      </c>
    </row>
    <row r="85" spans="12:12" ht="15" x14ac:dyDescent="0.25">
      <c r="L85" s="60"/>
    </row>
  </sheetData>
  <sheetProtection algorithmName="SHA-512" hashValue="iLaKVKqTlTSi9NLg2xUukUlSsF2Vwms66QfX9S5Z2fWlJxRcgwMbX0eF0KZxUFPU07ZF8Kye8A2KqDhYINFRMw==" saltValue="nAjciWQxIEuHpb44YLfJKA==" spinCount="100000" sheet="1" objects="1" scenarios="1"/>
  <mergeCells count="31">
    <mergeCell ref="G15:H15"/>
    <mergeCell ref="B56:E56"/>
    <mergeCell ref="C58:E58"/>
    <mergeCell ref="C60:E60"/>
    <mergeCell ref="G5:H5"/>
    <mergeCell ref="B49:E49"/>
    <mergeCell ref="C51:E51"/>
    <mergeCell ref="C53:E53"/>
    <mergeCell ref="C45:E45"/>
    <mergeCell ref="C7:E7"/>
    <mergeCell ref="C8:E8"/>
    <mergeCell ref="C9:E9"/>
    <mergeCell ref="C10:E10"/>
    <mergeCell ref="C11:E11"/>
    <mergeCell ref="C12:E12"/>
    <mergeCell ref="B15:E15"/>
    <mergeCell ref="C76:E76"/>
    <mergeCell ref="C78:E78"/>
    <mergeCell ref="C80:E80"/>
    <mergeCell ref="B3:E3"/>
    <mergeCell ref="C62:E62"/>
    <mergeCell ref="C64:E64"/>
    <mergeCell ref="B67:E67"/>
    <mergeCell ref="C69:E69"/>
    <mergeCell ref="C71:E71"/>
    <mergeCell ref="B74:E74"/>
    <mergeCell ref="C17:E17"/>
    <mergeCell ref="C24:E24"/>
    <mergeCell ref="C32:E32"/>
    <mergeCell ref="C36:E36"/>
    <mergeCell ref="C44:E44"/>
  </mergeCells>
  <pageMargins left="0.9055118110236221" right="0.51181102362204722" top="0.59055118110236227" bottom="0.3937007874015748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9794-11C9-4D69-B86B-01365CEBF68F}">
  <sheetPr>
    <tabColor rgb="FFFFC000"/>
    <pageSetUpPr fitToPage="1"/>
  </sheetPr>
  <dimension ref="A1:BB661"/>
  <sheetViews>
    <sheetView view="pageBreakPreview" zoomScale="85" zoomScaleNormal="85" zoomScaleSheetLayoutView="85" workbookViewId="0">
      <pane xSplit="2" ySplit="7" topLeftCell="C156" activePane="bottomRight" state="frozen"/>
      <selection activeCell="A3" sqref="A3:L3"/>
      <selection pane="topRight" activeCell="A3" sqref="A3:L3"/>
      <selection pane="bottomLeft" activeCell="A3" sqref="A3:L3"/>
      <selection pane="bottomRight" activeCell="A156" sqref="A156:A180"/>
    </sheetView>
  </sheetViews>
  <sheetFormatPr defaultColWidth="9.140625" defaultRowHeight="11.25" x14ac:dyDescent="0.2"/>
  <cols>
    <col min="1" max="1" width="3" style="597" bestFit="1" customWidth="1"/>
    <col min="2" max="2" width="4.85546875" style="597" bestFit="1" customWidth="1"/>
    <col min="3" max="5" width="7.28515625" style="598" customWidth="1"/>
    <col min="6" max="11" width="7.28515625" style="597" customWidth="1"/>
    <col min="12" max="13" width="7.28515625" style="598" customWidth="1"/>
    <col min="14" max="14" width="7.28515625" style="650" customWidth="1"/>
    <col min="15" max="16" width="8.7109375" style="597" bestFit="1" customWidth="1"/>
    <col min="17" max="18" width="7.42578125" style="599" customWidth="1"/>
    <col min="19" max="19" width="10.28515625" style="599" bestFit="1" customWidth="1"/>
    <col min="20" max="20" width="9.42578125" style="599" hidden="1" customWidth="1"/>
    <col min="21" max="21" width="10.140625" style="600" hidden="1" customWidth="1"/>
    <col min="22" max="22" width="9.42578125" style="599" hidden="1" customWidth="1"/>
    <col min="23" max="23" width="15.28515625" style="600" hidden="1" customWidth="1"/>
    <col min="24" max="24" width="10.28515625" style="599" hidden="1" customWidth="1"/>
    <col min="25" max="25" width="11.7109375" style="600" hidden="1" customWidth="1"/>
    <col min="26" max="26" width="10.28515625" style="599" hidden="1" customWidth="1"/>
    <col min="27" max="27" width="11" style="600" hidden="1" customWidth="1"/>
    <col min="28" max="28" width="8.7109375" style="601" hidden="1" customWidth="1"/>
    <col min="29" max="29" width="3.5703125" style="601" customWidth="1"/>
    <col min="30" max="30" width="7.42578125" style="601" customWidth="1"/>
    <col min="31" max="31" width="8.42578125" style="601" customWidth="1"/>
    <col min="32" max="32" width="15.85546875" style="601" customWidth="1"/>
    <col min="33" max="35" width="10.7109375" style="601" customWidth="1"/>
    <col min="36" max="36" width="7.42578125" style="601" customWidth="1"/>
    <col min="37" max="37" width="3.5703125" style="601" customWidth="1"/>
    <col min="38" max="38" width="10.42578125" style="601" customWidth="1"/>
    <col min="39" max="39" width="8.42578125" style="601" customWidth="1"/>
    <col min="40" max="40" width="14.85546875" style="601" customWidth="1"/>
    <col min="41" max="43" width="10.7109375" style="601" customWidth="1"/>
    <col min="44" max="44" width="12.28515625" style="601" customWidth="1"/>
    <col min="45" max="45" width="3.5703125" style="601" customWidth="1"/>
    <col min="46" max="46" width="10.42578125" style="601" customWidth="1"/>
    <col min="47" max="47" width="8.42578125" style="601" customWidth="1"/>
    <col min="48" max="48" width="17" style="601" customWidth="1"/>
    <col min="49" max="51" width="10.7109375" style="601" customWidth="1"/>
    <col min="52" max="54" width="9.140625" style="601"/>
    <col min="55" max="16384" width="9.140625" style="602"/>
  </cols>
  <sheetData>
    <row r="1" spans="1:54" ht="15" x14ac:dyDescent="0.25">
      <c r="B1" s="959" t="s">
        <v>1421</v>
      </c>
      <c r="C1" s="960"/>
      <c r="D1" s="960"/>
      <c r="E1" s="960"/>
      <c r="F1" s="961"/>
      <c r="G1" s="961"/>
      <c r="H1" s="961"/>
      <c r="I1" s="961"/>
      <c r="J1" s="961"/>
      <c r="K1" s="961"/>
      <c r="L1" s="960"/>
      <c r="N1" s="598"/>
      <c r="S1" s="878"/>
    </row>
    <row r="2" spans="1:54" x14ac:dyDescent="0.2">
      <c r="N2" s="598"/>
    </row>
    <row r="3" spans="1:54" ht="27.75" customHeight="1" x14ac:dyDescent="0.2">
      <c r="D3" s="603" t="s">
        <v>1200</v>
      </c>
      <c r="F3" s="603">
        <f>'Resultados_Tarifa e TIR'!B12</f>
        <v>15</v>
      </c>
      <c r="N3" s="598"/>
    </row>
    <row r="4" spans="1:54" s="605" customFormat="1" ht="12.75" x14ac:dyDescent="0.2">
      <c r="A4" s="1000"/>
      <c r="B4" s="1000"/>
      <c r="C4" s="1000"/>
      <c r="D4" s="1000"/>
      <c r="E4" s="1000"/>
      <c r="F4" s="1000"/>
      <c r="G4" s="1000"/>
      <c r="H4" s="1000"/>
      <c r="I4" s="1000"/>
      <c r="J4" s="1000"/>
      <c r="K4" s="1000"/>
      <c r="L4" s="1000"/>
      <c r="M4" s="1000"/>
      <c r="N4" s="1000"/>
      <c r="O4" s="604"/>
      <c r="P4" s="604"/>
      <c r="U4" s="606"/>
      <c r="W4" s="606"/>
      <c r="Y4" s="606"/>
      <c r="AA4" s="606"/>
    </row>
    <row r="5" spans="1:54" x14ac:dyDescent="0.2">
      <c r="A5" s="1001" t="s">
        <v>1201</v>
      </c>
      <c r="B5" s="1001"/>
      <c r="C5" s="1001"/>
      <c r="D5" s="1001"/>
      <c r="E5" s="1001"/>
      <c r="F5" s="1001"/>
      <c r="G5" s="1001"/>
      <c r="H5" s="1001"/>
      <c r="I5" s="1001"/>
      <c r="J5" s="1001"/>
      <c r="K5" s="1001"/>
      <c r="L5" s="1001"/>
      <c r="M5" s="1001"/>
      <c r="N5" s="1001"/>
      <c r="O5" s="1001"/>
      <c r="P5" s="1001"/>
    </row>
    <row r="6" spans="1:54" ht="12.75" customHeight="1" x14ac:dyDescent="0.2">
      <c r="A6" s="983">
        <v>1</v>
      </c>
      <c r="B6" s="986" t="s">
        <v>1077</v>
      </c>
      <c r="C6" s="988" t="s">
        <v>1202</v>
      </c>
      <c r="D6" s="989"/>
      <c r="E6" s="990"/>
      <c r="F6" s="991" t="s">
        <v>1203</v>
      </c>
      <c r="G6" s="992"/>
      <c r="H6" s="993"/>
      <c r="I6" s="991" t="s">
        <v>1204</v>
      </c>
      <c r="J6" s="992"/>
      <c r="K6" s="993"/>
      <c r="L6" s="991" t="s">
        <v>1205</v>
      </c>
      <c r="M6" s="992"/>
      <c r="N6" s="992"/>
      <c r="O6" s="991" t="s">
        <v>1206</v>
      </c>
      <c r="P6" s="993"/>
      <c r="Q6" s="980" t="s">
        <v>1207</v>
      </c>
      <c r="R6" s="981"/>
      <c r="S6" s="982"/>
      <c r="T6" s="607" t="s">
        <v>1208</v>
      </c>
      <c r="U6" s="609" t="s">
        <v>1209</v>
      </c>
      <c r="V6" s="608" t="s">
        <v>1210</v>
      </c>
      <c r="W6" s="610" t="s">
        <v>1211</v>
      </c>
      <c r="X6" s="607" t="s">
        <v>1210</v>
      </c>
      <c r="Y6" s="609" t="s">
        <v>1211</v>
      </c>
      <c r="Z6" s="607" t="s">
        <v>1210</v>
      </c>
      <c r="AA6" s="609" t="s">
        <v>1211</v>
      </c>
      <c r="AB6" s="999"/>
      <c r="AC6" s="611"/>
      <c r="AD6" s="612"/>
      <c r="AE6" s="612"/>
      <c r="AF6" s="613" t="s">
        <v>1212</v>
      </c>
      <c r="AG6" s="613"/>
      <c r="AH6" s="612">
        <f>Ent_Geral!C24-AH7</f>
        <v>525500</v>
      </c>
      <c r="AI6" s="614"/>
      <c r="AJ6" s="615"/>
      <c r="AK6" s="611"/>
      <c r="AL6" s="612"/>
      <c r="AM6" s="612"/>
      <c r="AN6" s="613" t="s">
        <v>1213</v>
      </c>
      <c r="AO6" s="613"/>
      <c r="AP6" s="612">
        <f>Ent_Geral!D24-AP7</f>
        <v>691977.6</v>
      </c>
      <c r="AQ6" s="614"/>
      <c r="AR6" s="615"/>
      <c r="AS6" s="611"/>
      <c r="AT6" s="612"/>
      <c r="AU6" s="612"/>
      <c r="AV6" s="613" t="s">
        <v>1214</v>
      </c>
      <c r="AW6" s="613"/>
      <c r="AX6" s="612">
        <f>Ent_Geral!E24-AX7</f>
        <v>731377.6</v>
      </c>
      <c r="AY6" s="614"/>
      <c r="AZ6" s="615"/>
      <c r="BA6" s="615"/>
      <c r="BB6" s="615"/>
    </row>
    <row r="7" spans="1:54" x14ac:dyDescent="0.2">
      <c r="A7" s="984"/>
      <c r="B7" s="987"/>
      <c r="C7" s="616" t="s">
        <v>1215</v>
      </c>
      <c r="D7" s="617" t="s">
        <v>1216</v>
      </c>
      <c r="E7" s="617" t="s">
        <v>1217</v>
      </c>
      <c r="F7" s="616" t="str">
        <f>$C$7</f>
        <v>Mini</v>
      </c>
      <c r="G7" s="617" t="str">
        <f>$D$7</f>
        <v>Midi</v>
      </c>
      <c r="H7" s="617" t="str">
        <f>$E$7</f>
        <v>Básico</v>
      </c>
      <c r="I7" s="616" t="str">
        <f>$C$7</f>
        <v>Mini</v>
      </c>
      <c r="J7" s="617" t="str">
        <f>$D$7</f>
        <v>Midi</v>
      </c>
      <c r="K7" s="617" t="str">
        <f>$E$7</f>
        <v>Básico</v>
      </c>
      <c r="L7" s="616" t="str">
        <f>$C$7</f>
        <v>Mini</v>
      </c>
      <c r="M7" s="617" t="str">
        <f>$D$7</f>
        <v>Midi</v>
      </c>
      <c r="N7" s="617" t="str">
        <f>$E$7</f>
        <v>Básico</v>
      </c>
      <c r="O7" s="618" t="s">
        <v>1203</v>
      </c>
      <c r="P7" s="619" t="s">
        <v>1204</v>
      </c>
      <c r="Q7" s="620" t="str">
        <f>C7</f>
        <v>Mini</v>
      </c>
      <c r="R7" s="621" t="str">
        <f>D7</f>
        <v>Midi</v>
      </c>
      <c r="S7" s="622" t="str">
        <f>E7</f>
        <v>Básico</v>
      </c>
      <c r="T7" s="623" t="str">
        <f>C7</f>
        <v>Mini</v>
      </c>
      <c r="U7" s="624" t="str">
        <f>C7</f>
        <v>Mini</v>
      </c>
      <c r="V7" s="625" t="str">
        <f>D7</f>
        <v>Midi</v>
      </c>
      <c r="W7" s="626" t="str">
        <f>D7</f>
        <v>Midi</v>
      </c>
      <c r="X7" s="623" t="str">
        <f>E7</f>
        <v>Básico</v>
      </c>
      <c r="Y7" s="624" t="str">
        <f>E7</f>
        <v>Básico</v>
      </c>
      <c r="Z7" s="627" t="s">
        <v>1218</v>
      </c>
      <c r="AA7" s="628" t="s">
        <v>1218</v>
      </c>
      <c r="AB7" s="999"/>
      <c r="AC7" s="629"/>
      <c r="AD7" s="615"/>
      <c r="AE7" s="615"/>
      <c r="AF7" s="601" t="s">
        <v>1219</v>
      </c>
      <c r="AH7" s="615">
        <f>Ent_Geral!D31*6</f>
        <v>0</v>
      </c>
      <c r="AI7" s="630"/>
      <c r="AJ7" s="631"/>
      <c r="AK7" s="629"/>
      <c r="AL7" s="615"/>
      <c r="AM7" s="615"/>
      <c r="AN7" s="601" t="s">
        <v>1219</v>
      </c>
      <c r="AP7" s="615">
        <f>Ent_Geral!D32*6</f>
        <v>11822.400000000001</v>
      </c>
      <c r="AQ7" s="632"/>
      <c r="AR7" s="615"/>
      <c r="AS7" s="629"/>
      <c r="AT7" s="615"/>
      <c r="AU7" s="615"/>
      <c r="AV7" s="601" t="s">
        <v>1219</v>
      </c>
      <c r="AX7" s="615">
        <f>Ent_Geral!D32*6</f>
        <v>11822.400000000001</v>
      </c>
      <c r="AY7" s="630"/>
      <c r="AZ7" s="615"/>
      <c r="BA7" s="615"/>
      <c r="BB7" s="615"/>
    </row>
    <row r="8" spans="1:54" x14ac:dyDescent="0.2">
      <c r="A8" s="984"/>
      <c r="B8" s="633">
        <v>0</v>
      </c>
      <c r="C8" s="634"/>
      <c r="F8" s="634">
        <f>Ent_Geral!C5</f>
        <v>0</v>
      </c>
      <c r="G8" s="598">
        <f>Ent_Geral!D5</f>
        <v>0</v>
      </c>
      <c r="H8" s="598">
        <f>Ent_Geral!E5</f>
        <v>0</v>
      </c>
      <c r="I8" s="634"/>
      <c r="J8" s="598"/>
      <c r="K8" s="598"/>
      <c r="L8" s="634">
        <f>IF(A6&lt;=$F$3,C8+F8-I8,0)</f>
        <v>0</v>
      </c>
      <c r="M8" s="598">
        <f>IF(A6&lt;=$F$3,D8+G8-J8,0)</f>
        <v>0</v>
      </c>
      <c r="N8" s="598">
        <f>IF(A6&lt;=$F$3,E8+H8-K8,0)</f>
        <v>0</v>
      </c>
      <c r="O8" s="635">
        <f>IF(A6&lt;=$F$3,F8*Q8+G8*R8+H8*S8,0)</f>
        <v>0</v>
      </c>
      <c r="P8" s="636">
        <f>IF(A6&lt;=$F$3,I8*Q8+J8*R8+K8*S8,0)</f>
        <v>0</v>
      </c>
      <c r="Q8" s="637">
        <f t="shared" ref="Q8:Q28" si="0">AI11</f>
        <v>525500</v>
      </c>
      <c r="R8" s="638">
        <f t="shared" ref="R8:R28" si="1">AQ11</f>
        <v>703800</v>
      </c>
      <c r="S8" s="639">
        <f t="shared" ref="S8:S28" si="2">AY11</f>
        <v>743200</v>
      </c>
      <c r="T8" s="637">
        <f>L8*$AH$6*AD$12</f>
        <v>0</v>
      </c>
      <c r="U8" s="640" t="e">
        <f>$AH$6*(1-AE$11)*((1+HLOOKUP($A$6,FC_Premissas!$D$5:$W$16,14,FALSE)^0.0833-1))*L8*12</f>
        <v>#REF!</v>
      </c>
      <c r="V8" s="638">
        <f>M8*$AP$6*AL$12</f>
        <v>0</v>
      </c>
      <c r="W8" s="640" t="e">
        <f>$AP$6*(1-AM$11)*((1+HLOOKUP($A$6,FC_Premissas!$D$5:$W$16,14,FALSE)^0.0833-1))*M8*12</f>
        <v>#REF!</v>
      </c>
      <c r="X8" s="637">
        <f>N8*$AX$6*AT$12</f>
        <v>0</v>
      </c>
      <c r="Y8" s="640" t="e">
        <f>$AX$6*(1-AU$11)*((1+HLOOKUP($A$6,FC_Premissas!$D$5:$W$16,14,FALSE)^0.0833-1))*N8*12</f>
        <v>#REF!</v>
      </c>
      <c r="Z8" s="638">
        <f t="shared" ref="Z8:AA28" si="3">T8+V8+X8</f>
        <v>0</v>
      </c>
      <c r="AA8" s="640" t="e">
        <f t="shared" si="3"/>
        <v>#REF!</v>
      </c>
      <c r="AB8" s="641"/>
      <c r="AC8" s="629"/>
      <c r="AI8" s="642"/>
      <c r="AJ8" s="615"/>
      <c r="AK8" s="629"/>
      <c r="AQ8" s="642"/>
      <c r="AR8" s="615"/>
      <c r="AS8" s="629"/>
      <c r="AY8" s="642"/>
    </row>
    <row r="9" spans="1:54" x14ac:dyDescent="0.2">
      <c r="A9" s="984"/>
      <c r="B9" s="633">
        <v>1</v>
      </c>
      <c r="C9" s="634"/>
      <c r="F9" s="643">
        <f>Ent_Geral!C6</f>
        <v>0</v>
      </c>
      <c r="G9" s="598">
        <f>Ent_Geral!D6</f>
        <v>0</v>
      </c>
      <c r="H9" s="598">
        <f>Ent_Geral!E6</f>
        <v>0</v>
      </c>
      <c r="I9" s="643"/>
      <c r="J9" s="598"/>
      <c r="K9" s="598"/>
      <c r="L9" s="634">
        <f>IF(A6&lt;=$F$3,C9+F9-I9,0)</f>
        <v>0</v>
      </c>
      <c r="M9" s="598">
        <f>IF(A6&lt;=$F$3,D9+G9-J9,0)</f>
        <v>0</v>
      </c>
      <c r="N9" s="598">
        <f>IF(A6&lt;=$F$3,E9+H9-K9,0)</f>
        <v>0</v>
      </c>
      <c r="O9" s="635">
        <f>IF(A6&lt;=$F$3,F9*Q9+G9*R9+H9*S9,0)</f>
        <v>0</v>
      </c>
      <c r="P9" s="636">
        <f>IF(A6&lt;=$F$3,I9*Q9+J9*R9+K9*S9,0)</f>
        <v>0</v>
      </c>
      <c r="Q9" s="637">
        <f t="shared" si="0"/>
        <v>439509.09090909094</v>
      </c>
      <c r="R9" s="638">
        <f t="shared" si="1"/>
        <v>590567.30181818188</v>
      </c>
      <c r="S9" s="639">
        <f t="shared" si="2"/>
        <v>623520.02909090917</v>
      </c>
      <c r="T9" s="637">
        <f>L9*$AH$6*AD$13</f>
        <v>0</v>
      </c>
      <c r="U9" s="640" t="e">
        <f>$AH$6*(1-AE$12)*((1+HLOOKUP($A$6,FC_Premissas!$D$5:$W$16,14,FALSE)^0.0833-1))*L9*12</f>
        <v>#REF!</v>
      </c>
      <c r="V9" s="638">
        <f>M9*$AP$6*AL$13</f>
        <v>0</v>
      </c>
      <c r="W9" s="640" t="e">
        <f>$AP$6*(1-AM$12)*((1+HLOOKUP($A$6,FC_Premissas!$D$5:$W$16,14,FALSE))^0.0833-1)*M9*12</f>
        <v>#REF!</v>
      </c>
      <c r="X9" s="637">
        <f>N9*$AX$6*AT$13</f>
        <v>0</v>
      </c>
      <c r="Y9" s="640" t="e">
        <f>$AX$6*(1-AU$12)*((1+HLOOKUP($A$6,FC_Premissas!$D$5:$W$16,14,FALSE))^0.0833-1)*N9*12</f>
        <v>#REF!</v>
      </c>
      <c r="Z9" s="638">
        <f t="shared" si="3"/>
        <v>0</v>
      </c>
      <c r="AA9" s="640" t="e">
        <f t="shared" si="3"/>
        <v>#REF!</v>
      </c>
      <c r="AB9" s="641"/>
      <c r="AC9" s="611"/>
      <c r="AD9" s="613"/>
      <c r="AE9" s="996" t="s">
        <v>1220</v>
      </c>
      <c r="AF9" s="997"/>
      <c r="AG9" s="996" t="s">
        <v>1221</v>
      </c>
      <c r="AH9" s="998"/>
      <c r="AI9" s="997"/>
      <c r="AK9" s="611"/>
      <c r="AL9" s="613"/>
      <c r="AM9" s="996" t="s">
        <v>1220</v>
      </c>
      <c r="AN9" s="997"/>
      <c r="AO9" s="996" t="s">
        <v>1221</v>
      </c>
      <c r="AP9" s="998"/>
      <c r="AQ9" s="997"/>
      <c r="AS9" s="611"/>
      <c r="AT9" s="613"/>
      <c r="AU9" s="996" t="s">
        <v>1220</v>
      </c>
      <c r="AV9" s="997"/>
      <c r="AW9" s="996" t="s">
        <v>1221</v>
      </c>
      <c r="AX9" s="998"/>
      <c r="AY9" s="997"/>
    </row>
    <row r="10" spans="1:54" x14ac:dyDescent="0.2">
      <c r="A10" s="984"/>
      <c r="B10" s="633">
        <v>2</v>
      </c>
      <c r="C10" s="634"/>
      <c r="F10" s="634">
        <f>Ent_Geral!C7</f>
        <v>0</v>
      </c>
      <c r="G10" s="598">
        <f>Ent_Geral!D7</f>
        <v>0</v>
      </c>
      <c r="H10" s="598">
        <f>Ent_Geral!E7</f>
        <v>0</v>
      </c>
      <c r="I10" s="634"/>
      <c r="J10" s="598"/>
      <c r="K10" s="598"/>
      <c r="L10" s="634">
        <f>IF(A6&lt;=$F$3,C10+F10-I10,0)</f>
        <v>0</v>
      </c>
      <c r="M10" s="598">
        <f>IF(A6&lt;=$F$3,D10+G10-J10,0)</f>
        <v>0</v>
      </c>
      <c r="N10" s="598">
        <f>IF(A6&lt;=$F$3,E10+H10-K10,0)</f>
        <v>0</v>
      </c>
      <c r="O10" s="635">
        <f>IF(A6&lt;=$F$3,F10*Q10+G10*R10+H10*S10,0)</f>
        <v>0</v>
      </c>
      <c r="P10" s="636">
        <f>IF(A6&lt;=$F$3,I10*Q10+J10*R10+K10*S10,0)</f>
        <v>0</v>
      </c>
      <c r="Q10" s="637">
        <f t="shared" si="0"/>
        <v>362117.27272727271</v>
      </c>
      <c r="R10" s="638">
        <f t="shared" si="1"/>
        <v>488657.87345454545</v>
      </c>
      <c r="S10" s="639">
        <f t="shared" si="2"/>
        <v>515808.05527272727</v>
      </c>
      <c r="T10" s="637">
        <f>L10*$AH$6*AD$14</f>
        <v>0</v>
      </c>
      <c r="U10" s="640" t="e">
        <f>$AH$6*(1-AE$13)*((1+HLOOKUP($A$6,FC_Premissas!$D$5:$W$16,14,FALSE)^0.0833-1))*L10*12</f>
        <v>#REF!</v>
      </c>
      <c r="V10" s="638">
        <f>M10*$AP$6*AL$14</f>
        <v>0</v>
      </c>
      <c r="W10" s="640" t="e">
        <f>$AP$6*(1-AM$13)*((1+HLOOKUP($A$6,FC_Premissas!$D$5:$W$16,14,FALSE))^0.0833-1)*M10*12</f>
        <v>#REF!</v>
      </c>
      <c r="X10" s="637">
        <f>N10*$AX$6*AT$14</f>
        <v>0</v>
      </c>
      <c r="Y10" s="640" t="e">
        <f>$AX$6*(1-AU$13)*((1+HLOOKUP($A$6,FC_Premissas!$D$5:$W$16,14,FALSE))^0.0833-1)*N10*12</f>
        <v>#REF!</v>
      </c>
      <c r="Z10" s="638">
        <f t="shared" si="3"/>
        <v>0</v>
      </c>
      <c r="AA10" s="640" t="e">
        <f t="shared" si="3"/>
        <v>#REF!</v>
      </c>
      <c r="AB10" s="641"/>
      <c r="AC10" s="644" t="s">
        <v>1222</v>
      </c>
      <c r="AD10" s="645"/>
      <c r="AE10" s="644" t="s">
        <v>1223</v>
      </c>
      <c r="AF10" s="646" t="s">
        <v>1224</v>
      </c>
      <c r="AG10" s="644" t="s">
        <v>1225</v>
      </c>
      <c r="AH10" s="645" t="s">
        <v>1226</v>
      </c>
      <c r="AI10" s="646" t="s">
        <v>1227</v>
      </c>
      <c r="AK10" s="644" t="s">
        <v>1222</v>
      </c>
      <c r="AL10" s="645"/>
      <c r="AM10" s="644" t="s">
        <v>1223</v>
      </c>
      <c r="AN10" s="646" t="s">
        <v>1224</v>
      </c>
      <c r="AO10" s="644" t="s">
        <v>1225</v>
      </c>
      <c r="AP10" s="645" t="s">
        <v>1226</v>
      </c>
      <c r="AQ10" s="646" t="s">
        <v>1227</v>
      </c>
      <c r="AS10" s="644" t="s">
        <v>1222</v>
      </c>
      <c r="AT10" s="645"/>
      <c r="AU10" s="644" t="s">
        <v>1223</v>
      </c>
      <c r="AV10" s="646" t="s">
        <v>1224</v>
      </c>
      <c r="AW10" s="644" t="s">
        <v>1225</v>
      </c>
      <c r="AX10" s="645" t="s">
        <v>1226</v>
      </c>
      <c r="AY10" s="646" t="s">
        <v>1227</v>
      </c>
    </row>
    <row r="11" spans="1:54" x14ac:dyDescent="0.2">
      <c r="A11" s="984"/>
      <c r="B11" s="633">
        <v>3</v>
      </c>
      <c r="C11" s="634"/>
      <c r="F11" s="634">
        <f>Ent_Geral!C8</f>
        <v>0</v>
      </c>
      <c r="G11" s="598">
        <f>Ent_Geral!D8</f>
        <v>0</v>
      </c>
      <c r="H11" s="598">
        <f>Ent_Geral!E8</f>
        <v>0</v>
      </c>
      <c r="I11" s="634"/>
      <c r="J11" s="598"/>
      <c r="K11" s="598"/>
      <c r="L11" s="634">
        <f>IF(A6&lt;=$F$3,C11+F11-I11,0)</f>
        <v>0</v>
      </c>
      <c r="M11" s="598">
        <f>IF(A6&lt;=$F$3,D11+G11-J11,0)</f>
        <v>0</v>
      </c>
      <c r="N11" s="598">
        <f>IF(A6&lt;=$F$3,E11+H11-K11,0)</f>
        <v>0</v>
      </c>
      <c r="O11" s="635">
        <f>IF(A6&lt;=$F$3,F11*Q11+G11*R11+H11*S11,0)</f>
        <v>0</v>
      </c>
      <c r="P11" s="636">
        <f>IF(A6&lt;=$F$3,I11*Q11+J11*R11+K11*S11,0)</f>
        <v>0</v>
      </c>
      <c r="Q11" s="637">
        <f t="shared" si="0"/>
        <v>293324.54545454541</v>
      </c>
      <c r="R11" s="638">
        <f t="shared" si="1"/>
        <v>398071.71490909089</v>
      </c>
      <c r="S11" s="639">
        <f t="shared" si="2"/>
        <v>420064.07854545448</v>
      </c>
      <c r="T11" s="637">
        <f>L11*$AH$6*AD$15</f>
        <v>0</v>
      </c>
      <c r="U11" s="640" t="e">
        <f>$AH$6*(1-AE$14)*((1+HLOOKUP($A$6,FC_Premissas!$D$5:$W$16,14,FALSE)^0.0833-1))*L11*12</f>
        <v>#REF!</v>
      </c>
      <c r="V11" s="638">
        <f>M11*$AP$6*AL$15</f>
        <v>0</v>
      </c>
      <c r="W11" s="640" t="e">
        <f>$AP$6*(1-AM$14)*((1+HLOOKUP($A$6,FC_Premissas!$D$5:$W$16,14,FALSE))^0.0833-1)*M11*12</f>
        <v>#REF!</v>
      </c>
      <c r="X11" s="637">
        <f>N11*$AX$6*AT$15</f>
        <v>0</v>
      </c>
      <c r="Y11" s="640" t="e">
        <f>$AX$6*(1-AU$14)*((1+HLOOKUP($A$6,FC_Premissas!$D$5:$W$16,14,FALSE))^0.0833-1)*N11*12</f>
        <v>#REF!</v>
      </c>
      <c r="Z11" s="638">
        <f t="shared" si="3"/>
        <v>0</v>
      </c>
      <c r="AA11" s="640" t="e">
        <f t="shared" si="3"/>
        <v>#REF!</v>
      </c>
      <c r="AB11" s="641"/>
      <c r="AC11" s="629">
        <v>0</v>
      </c>
      <c r="AE11" s="647">
        <v>0</v>
      </c>
      <c r="AF11" s="642">
        <f t="shared" ref="AF11:AF32" si="4">AE11*AH$6</f>
        <v>0</v>
      </c>
      <c r="AG11" s="648">
        <f t="shared" ref="AG11:AG32" si="5">AH$6-AF11</f>
        <v>525500</v>
      </c>
      <c r="AH11" s="615">
        <f t="shared" ref="AH11:AH32" si="6">AH$7</f>
        <v>0</v>
      </c>
      <c r="AI11" s="642">
        <f t="shared" ref="AI11:AI32" si="7">AH$6*(1-AE11)+AH$7</f>
        <v>525500</v>
      </c>
      <c r="AJ11" s="615"/>
      <c r="AK11" s="629">
        <v>0</v>
      </c>
      <c r="AM11" s="647">
        <v>0</v>
      </c>
      <c r="AN11" s="642">
        <f t="shared" ref="AN11:AN32" si="8">AM11*AP$6</f>
        <v>0</v>
      </c>
      <c r="AO11" s="648">
        <f t="shared" ref="AO11:AO32" si="9">AP$6-AN11</f>
        <v>691977.6</v>
      </c>
      <c r="AP11" s="615">
        <f t="shared" ref="AP11:AP32" si="10">AP$7</f>
        <v>11822.400000000001</v>
      </c>
      <c r="AQ11" s="642">
        <f t="shared" ref="AQ11:AQ32" si="11">AP$6*(1-AM11)+AP$7</f>
        <v>703800</v>
      </c>
      <c r="AR11" s="615"/>
      <c r="AS11" s="629">
        <v>0</v>
      </c>
      <c r="AU11" s="647">
        <v>0</v>
      </c>
      <c r="AV11" s="642">
        <f t="shared" ref="AV11:AV32" si="12">AU11*AX$6</f>
        <v>0</v>
      </c>
      <c r="AW11" s="648">
        <f t="shared" ref="AW11:AW32" si="13">AX$6-AV11</f>
        <v>731377.6</v>
      </c>
      <c r="AX11" s="615">
        <f t="shared" ref="AX11:AX32" si="14">AX$7</f>
        <v>11822.400000000001</v>
      </c>
      <c r="AY11" s="642">
        <f t="shared" ref="AY11:AY32" si="15">AX$6*(1-AU11)+AX$7</f>
        <v>743200</v>
      </c>
    </row>
    <row r="12" spans="1:54" x14ac:dyDescent="0.2">
      <c r="A12" s="984"/>
      <c r="B12" s="633">
        <v>4</v>
      </c>
      <c r="C12" s="634"/>
      <c r="F12" s="634">
        <f>Ent_Geral!C9</f>
        <v>0</v>
      </c>
      <c r="G12" s="598">
        <f>Ent_Geral!D9</f>
        <v>0</v>
      </c>
      <c r="H12" s="598">
        <f>Ent_Geral!E9</f>
        <v>0</v>
      </c>
      <c r="I12" s="634"/>
      <c r="J12" s="598"/>
      <c r="K12" s="598"/>
      <c r="L12" s="634">
        <f>IF(A6&lt;=$F$3,C12+F12-I12,0)</f>
        <v>0</v>
      </c>
      <c r="M12" s="598">
        <f>IF(A6&lt;=$F$3,D12+G12-J12,0)</f>
        <v>0</v>
      </c>
      <c r="N12" s="598">
        <f>IF(A6&lt;=$F$3,E12+H12-K12,0)</f>
        <v>0</v>
      </c>
      <c r="O12" s="635">
        <f>IF(A6&lt;=$F$3,F12*Q12+G12*R12+H12*S12,0)</f>
        <v>0</v>
      </c>
      <c r="P12" s="636">
        <f>IF(A6&lt;=$F$3,I12*Q12+J12*R12+K12*S12,0)</f>
        <v>0</v>
      </c>
      <c r="Q12" s="637">
        <f t="shared" si="0"/>
        <v>233130.90909090909</v>
      </c>
      <c r="R12" s="638">
        <f t="shared" si="1"/>
        <v>318808.82618181815</v>
      </c>
      <c r="S12" s="639">
        <f t="shared" si="2"/>
        <v>336288.09890909091</v>
      </c>
      <c r="T12" s="637">
        <f>L12*$AH$6*AD$16</f>
        <v>0</v>
      </c>
      <c r="U12" s="640" t="e">
        <f>$AH$6*(1-AE$15)*((1+HLOOKUP($A$6,FC_Premissas!$D$5:$W$16,14,FALSE)^0.0833-1))*L12*12</f>
        <v>#REF!</v>
      </c>
      <c r="V12" s="638">
        <f>M12*$AP$6*AL$16</f>
        <v>0</v>
      </c>
      <c r="W12" s="640" t="e">
        <f>$AP$6*(1-AM$15)*((1+HLOOKUP($A$6,FC_Premissas!$D$5:$W$16,14,FALSE))^0.0833-1)*M12*12</f>
        <v>#REF!</v>
      </c>
      <c r="X12" s="637">
        <f>N12*$AX$6*AT$16</f>
        <v>0</v>
      </c>
      <c r="Y12" s="640" t="e">
        <f>$AX$6*(1-AU$15)*((1+HLOOKUP($A$6,FC_Premissas!$D$5:$W$16,14,FALSE))^0.0833-1)*N12*12</f>
        <v>#REF!</v>
      </c>
      <c r="Z12" s="638">
        <f t="shared" si="3"/>
        <v>0</v>
      </c>
      <c r="AA12" s="640" t="e">
        <f t="shared" si="3"/>
        <v>#REF!</v>
      </c>
      <c r="AB12" s="641"/>
      <c r="AC12" s="629">
        <f t="shared" ref="AC12:AC32" si="16">AC11+1</f>
        <v>1</v>
      </c>
      <c r="AD12" s="649">
        <f>'Ref_A.IX.a. Deprec. veículos'!D21*12</f>
        <v>0.16363636363636364</v>
      </c>
      <c r="AE12" s="647">
        <f t="shared" ref="AE12:AE32" si="17">AE11+IF(AD12="",0,AD12)</f>
        <v>0.16363636363636364</v>
      </c>
      <c r="AF12" s="642">
        <f t="shared" si="4"/>
        <v>85990.909090909088</v>
      </c>
      <c r="AG12" s="648">
        <f t="shared" si="5"/>
        <v>439509.09090909094</v>
      </c>
      <c r="AH12" s="615">
        <f t="shared" si="6"/>
        <v>0</v>
      </c>
      <c r="AI12" s="642">
        <f t="shared" si="7"/>
        <v>439509.09090909094</v>
      </c>
      <c r="AJ12" s="615"/>
      <c r="AK12" s="629">
        <f t="shared" ref="AK12:AK32" si="18">AK11+1</f>
        <v>1</v>
      </c>
      <c r="AL12" s="649">
        <f>'Ref_A.IX.a. Deprec. veículos'!E21*12</f>
        <v>0.16363636363636364</v>
      </c>
      <c r="AM12" s="647">
        <f t="shared" ref="AM12:AM32" si="19">AM11+IF(AL12="",0,AL12)</f>
        <v>0.16363636363636364</v>
      </c>
      <c r="AN12" s="642">
        <f t="shared" si="8"/>
        <v>113232.69818181818</v>
      </c>
      <c r="AO12" s="648">
        <f t="shared" si="9"/>
        <v>578744.90181818185</v>
      </c>
      <c r="AP12" s="615">
        <f t="shared" si="10"/>
        <v>11822.400000000001</v>
      </c>
      <c r="AQ12" s="642">
        <f t="shared" si="11"/>
        <v>590567.30181818188</v>
      </c>
      <c r="AR12" s="615"/>
      <c r="AS12" s="629">
        <f t="shared" ref="AS12:AS32" si="20">AS11+1</f>
        <v>1</v>
      </c>
      <c r="AT12" s="649">
        <f>'Ref_A.IX.a. Deprec. veículos'!E21*12</f>
        <v>0.16363636363636364</v>
      </c>
      <c r="AU12" s="647">
        <f t="shared" ref="AU12:AU32" si="21">AU11+IF(AT12="",0,AT12)</f>
        <v>0.16363636363636364</v>
      </c>
      <c r="AV12" s="642">
        <f t="shared" si="12"/>
        <v>119679.9709090909</v>
      </c>
      <c r="AW12" s="648">
        <f t="shared" si="13"/>
        <v>611697.62909090903</v>
      </c>
      <c r="AX12" s="615">
        <f t="shared" si="14"/>
        <v>11822.400000000001</v>
      </c>
      <c r="AY12" s="642">
        <f t="shared" si="15"/>
        <v>623520.02909090917</v>
      </c>
    </row>
    <row r="13" spans="1:54" x14ac:dyDescent="0.2">
      <c r="A13" s="984"/>
      <c r="B13" s="633">
        <v>5</v>
      </c>
      <c r="C13" s="634"/>
      <c r="F13" s="634">
        <f>Ent_Geral!C10</f>
        <v>0</v>
      </c>
      <c r="G13" s="598">
        <f>Ent_Geral!D10</f>
        <v>0</v>
      </c>
      <c r="H13" s="598">
        <f>Ent_Geral!E10</f>
        <v>4</v>
      </c>
      <c r="I13" s="634"/>
      <c r="J13" s="598"/>
      <c r="K13" s="598"/>
      <c r="L13" s="634">
        <f>IF(A6&lt;=$F$3,C13+F13-I13,0)</f>
        <v>0</v>
      </c>
      <c r="M13" s="598">
        <f>IF(A6&lt;=$F$3,D13+G13-J13,0)</f>
        <v>0</v>
      </c>
      <c r="N13" s="598">
        <f>IF(A6&lt;=$F$3,E13+H13-K13,0)</f>
        <v>4</v>
      </c>
      <c r="O13" s="635">
        <f>IF(A6&lt;=$F$3,F13*Q13+G13*R13+H13*S13,0)</f>
        <v>1057920.4654545456</v>
      </c>
      <c r="P13" s="636">
        <f>IF(A6&lt;=$F$3,I13*Q13+J13*R13+K13*S13,0)</f>
        <v>0</v>
      </c>
      <c r="Q13" s="637">
        <f t="shared" si="0"/>
        <v>181536.36363636365</v>
      </c>
      <c r="R13" s="638">
        <f t="shared" si="1"/>
        <v>250869.20727272728</v>
      </c>
      <c r="S13" s="639">
        <f t="shared" si="2"/>
        <v>264480.11636363639</v>
      </c>
      <c r="T13" s="637">
        <f>L13*$AH$6*AD$17</f>
        <v>0</v>
      </c>
      <c r="U13" s="640" t="e">
        <f>$AH$6*(1-AE$16)*((1+HLOOKUP($A$6,FC_Premissas!$D$5:$W$16,14,FALSE)^0.0833-1))*L13*12</f>
        <v>#REF!</v>
      </c>
      <c r="V13" s="638">
        <f>M13*$AP$6*AL$17</f>
        <v>0</v>
      </c>
      <c r="W13" s="640" t="e">
        <f>$AP$6*(1-AM$16)*((1+HLOOKUP($A$6,FC_Premissas!$D$5:$W$16,14,FALSE))^0.0833-1)*M13*12</f>
        <v>#REF!</v>
      </c>
      <c r="X13" s="637">
        <f>N13*$AX$6*AT$17</f>
        <v>239359.9418181818</v>
      </c>
      <c r="Y13" s="640" t="e">
        <f>$AX$6*(1-AU$16)*((1+HLOOKUP($A$6,FC_Premissas!$D$5:$W$16,14,FALSE))^0.0833-1)*N13*12</f>
        <v>#REF!</v>
      </c>
      <c r="Z13" s="638">
        <f t="shared" si="3"/>
        <v>239359.9418181818</v>
      </c>
      <c r="AA13" s="640" t="e">
        <f t="shared" si="3"/>
        <v>#REF!</v>
      </c>
      <c r="AB13" s="641"/>
      <c r="AC13" s="629">
        <f t="shared" si="16"/>
        <v>2</v>
      </c>
      <c r="AD13" s="649">
        <f>'Ref_A.IX.a. Deprec. veículos'!D22*12</f>
        <v>0.14727272727272728</v>
      </c>
      <c r="AE13" s="647">
        <f t="shared" si="17"/>
        <v>0.31090909090909091</v>
      </c>
      <c r="AF13" s="642">
        <f t="shared" si="4"/>
        <v>163382.72727272726</v>
      </c>
      <c r="AG13" s="648">
        <f t="shared" si="5"/>
        <v>362117.27272727271</v>
      </c>
      <c r="AH13" s="615">
        <f t="shared" si="6"/>
        <v>0</v>
      </c>
      <c r="AI13" s="642">
        <f t="shared" si="7"/>
        <v>362117.27272727271</v>
      </c>
      <c r="AJ13" s="615"/>
      <c r="AK13" s="629">
        <f t="shared" si="18"/>
        <v>2</v>
      </c>
      <c r="AL13" s="649">
        <f>'Ref_A.IX.a. Deprec. veículos'!E22*12</f>
        <v>0.14727272727272728</v>
      </c>
      <c r="AM13" s="647">
        <f t="shared" si="19"/>
        <v>0.31090909090909091</v>
      </c>
      <c r="AN13" s="642">
        <f t="shared" si="8"/>
        <v>215142.12654545455</v>
      </c>
      <c r="AO13" s="648">
        <f t="shared" si="9"/>
        <v>476835.47345454543</v>
      </c>
      <c r="AP13" s="615">
        <f t="shared" si="10"/>
        <v>11822.400000000001</v>
      </c>
      <c r="AQ13" s="642">
        <f t="shared" si="11"/>
        <v>488657.87345454545</v>
      </c>
      <c r="AR13" s="615"/>
      <c r="AS13" s="629">
        <f t="shared" si="20"/>
        <v>2</v>
      </c>
      <c r="AT13" s="649">
        <f>'Ref_A.IX.a. Deprec. veículos'!E22*12</f>
        <v>0.14727272727272728</v>
      </c>
      <c r="AU13" s="647">
        <f t="shared" si="21"/>
        <v>0.31090909090909091</v>
      </c>
      <c r="AV13" s="642">
        <f t="shared" si="12"/>
        <v>227391.94472727273</v>
      </c>
      <c r="AW13" s="648">
        <f t="shared" si="13"/>
        <v>503985.65527272725</v>
      </c>
      <c r="AX13" s="615">
        <f t="shared" si="14"/>
        <v>11822.400000000001</v>
      </c>
      <c r="AY13" s="642">
        <f t="shared" si="15"/>
        <v>515808.05527272727</v>
      </c>
    </row>
    <row r="14" spans="1:54" x14ac:dyDescent="0.2">
      <c r="A14" s="984"/>
      <c r="B14" s="633">
        <v>6</v>
      </c>
      <c r="C14" s="634"/>
      <c r="F14" s="634">
        <f>Ent_Geral!C11</f>
        <v>0</v>
      </c>
      <c r="G14" s="598">
        <f>Ent_Geral!D11</f>
        <v>0</v>
      </c>
      <c r="H14" s="598">
        <f>Ent_Geral!E11</f>
        <v>0</v>
      </c>
      <c r="I14" s="634"/>
      <c r="J14" s="598"/>
      <c r="K14" s="598"/>
      <c r="L14" s="634">
        <f>IF(A6&lt;=$F$3,C14+F14-I14,0)</f>
        <v>0</v>
      </c>
      <c r="M14" s="598">
        <f>IF(A6&lt;=$F$3,D14+G14-J14,0)</f>
        <v>0</v>
      </c>
      <c r="N14" s="598">
        <f>IF(A6&lt;=$F$3,E14+H14-K14,0)</f>
        <v>0</v>
      </c>
      <c r="O14" s="635">
        <f>IF(A6&lt;=$F$3,F14*Q14+G14*R14+H14*S14,0)</f>
        <v>0</v>
      </c>
      <c r="P14" s="636">
        <f>IF(A6&lt;=$F$3,I14*Q14+J14*R14+K14*S14,0)</f>
        <v>0</v>
      </c>
      <c r="Q14" s="637">
        <f t="shared" si="0"/>
        <v>138540.90909090912</v>
      </c>
      <c r="R14" s="638">
        <f t="shared" si="1"/>
        <v>194252.85818181818</v>
      </c>
      <c r="S14" s="639">
        <f t="shared" si="2"/>
        <v>204640.13090909092</v>
      </c>
      <c r="T14" s="637">
        <f>L14*$AH$6*AD$18</f>
        <v>0</v>
      </c>
      <c r="U14" s="640" t="e">
        <f>$AH$6*(1-AE$17)*((1+HLOOKUP($A$6,FC_Premissas!$D$5:$W$16,14,FALSE)^0.0833-1))*L14*12</f>
        <v>#REF!</v>
      </c>
      <c r="V14" s="638">
        <f>M14*$AP$6*AL$18</f>
        <v>0</v>
      </c>
      <c r="W14" s="640" t="e">
        <f>$AP$6*(1-AM$17)*((1+HLOOKUP($A$6,FC_Premissas!$D$5:$W$16,14,FALSE))^0.0833-1)*M14*12</f>
        <v>#REF!</v>
      </c>
      <c r="X14" s="637">
        <f>N14*$AX$6*AT$18</f>
        <v>0</v>
      </c>
      <c r="Y14" s="640" t="e">
        <f>$AX$6*(1-AU$17)*((1+HLOOKUP($A$6,FC_Premissas!$D$5:$W$16,14,FALSE))^0.0833-1)*N14*12</f>
        <v>#REF!</v>
      </c>
      <c r="Z14" s="638">
        <f t="shared" si="3"/>
        <v>0</v>
      </c>
      <c r="AA14" s="640" t="e">
        <f t="shared" si="3"/>
        <v>#REF!</v>
      </c>
      <c r="AB14" s="641"/>
      <c r="AC14" s="629">
        <f t="shared" si="16"/>
        <v>3</v>
      </c>
      <c r="AD14" s="649">
        <f>'Ref_A.IX.a. Deprec. veículos'!D23*12</f>
        <v>0.13090909090909092</v>
      </c>
      <c r="AE14" s="647">
        <f t="shared" si="17"/>
        <v>0.44181818181818183</v>
      </c>
      <c r="AF14" s="642">
        <f t="shared" si="4"/>
        <v>232175.45454545456</v>
      </c>
      <c r="AG14" s="648">
        <f t="shared" si="5"/>
        <v>293324.54545454541</v>
      </c>
      <c r="AH14" s="615">
        <f t="shared" si="6"/>
        <v>0</v>
      </c>
      <c r="AI14" s="642">
        <f t="shared" si="7"/>
        <v>293324.54545454541</v>
      </c>
      <c r="AJ14" s="615"/>
      <c r="AK14" s="629">
        <f t="shared" si="18"/>
        <v>3</v>
      </c>
      <c r="AL14" s="649">
        <f>'Ref_A.IX.a. Deprec. veículos'!E23*12</f>
        <v>0.13090909090909092</v>
      </c>
      <c r="AM14" s="647">
        <f t="shared" si="19"/>
        <v>0.44181818181818183</v>
      </c>
      <c r="AN14" s="642">
        <f t="shared" si="8"/>
        <v>305728.28509090911</v>
      </c>
      <c r="AO14" s="648">
        <f t="shared" si="9"/>
        <v>386249.31490909087</v>
      </c>
      <c r="AP14" s="615">
        <f t="shared" si="10"/>
        <v>11822.400000000001</v>
      </c>
      <c r="AQ14" s="642">
        <f t="shared" si="11"/>
        <v>398071.71490909089</v>
      </c>
      <c r="AR14" s="615"/>
      <c r="AS14" s="629">
        <f t="shared" si="20"/>
        <v>3</v>
      </c>
      <c r="AT14" s="649">
        <f>'Ref_A.IX.a. Deprec. veículos'!E23*12</f>
        <v>0.13090909090909092</v>
      </c>
      <c r="AU14" s="647">
        <f t="shared" si="21"/>
        <v>0.44181818181818183</v>
      </c>
      <c r="AV14" s="642">
        <f t="shared" si="12"/>
        <v>323135.92145454546</v>
      </c>
      <c r="AW14" s="648">
        <f t="shared" si="13"/>
        <v>408241.67854545452</v>
      </c>
      <c r="AX14" s="615">
        <f t="shared" si="14"/>
        <v>11822.400000000001</v>
      </c>
      <c r="AY14" s="642">
        <f t="shared" si="15"/>
        <v>420064.07854545448</v>
      </c>
    </row>
    <row r="15" spans="1:54" x14ac:dyDescent="0.2">
      <c r="A15" s="984"/>
      <c r="B15" s="633">
        <v>7</v>
      </c>
      <c r="C15" s="634"/>
      <c r="F15" s="634">
        <f>Ent_Geral!C12</f>
        <v>0</v>
      </c>
      <c r="G15" s="598">
        <f>Ent_Geral!D12</f>
        <v>0</v>
      </c>
      <c r="H15" s="598">
        <f>Ent_Geral!E12</f>
        <v>3</v>
      </c>
      <c r="I15" s="634"/>
      <c r="J15" s="598"/>
      <c r="K15" s="598"/>
      <c r="L15" s="634">
        <f>IF(A6&lt;=$F$3,C15+F15-I15,0)</f>
        <v>0</v>
      </c>
      <c r="M15" s="598">
        <f>IF(A6&lt;=$F$3,D15+G15-J15,0)</f>
        <v>0</v>
      </c>
      <c r="N15" s="598">
        <f>IF(A6&lt;=$F$3,E15+H15-K15,0)</f>
        <v>3</v>
      </c>
      <c r="O15" s="635">
        <f>IF(A6&lt;=$F$3,F15*Q15+G15*R15+H15*S15,0)</f>
        <v>470304.42763636378</v>
      </c>
      <c r="P15" s="636">
        <f>IF(A6&lt;=$F$3,I15*Q15+J15*R15+K15*S15,0)</f>
        <v>0</v>
      </c>
      <c r="Q15" s="637">
        <f t="shared" si="0"/>
        <v>104144.54545454548</v>
      </c>
      <c r="R15" s="638">
        <f t="shared" si="1"/>
        <v>148959.77890909094</v>
      </c>
      <c r="S15" s="639">
        <f t="shared" si="2"/>
        <v>156768.14254545458</v>
      </c>
      <c r="T15" s="637">
        <f>L15*$AH$6*AD$19</f>
        <v>0</v>
      </c>
      <c r="U15" s="640" t="e">
        <f>$AH$6*(1-AE$18)*((1+HLOOKUP($A$6,FC_Premissas!$D$5:$W$16,14,FALSE)^0.0833-1))*L15*12</f>
        <v>#REF!</v>
      </c>
      <c r="V15" s="638">
        <f>M15*$AP$6*AL$19</f>
        <v>0</v>
      </c>
      <c r="W15" s="640" t="e">
        <f>$AP$6*(1-AM$18)*((1+HLOOKUP($A$6,FC_Premissas!$D$5:$W$16,14,FALSE))^0.0833-1)*M15*12</f>
        <v>#REF!</v>
      </c>
      <c r="X15" s="637">
        <f>N15*$AX$6*AT$19</f>
        <v>107711.97381818182</v>
      </c>
      <c r="Y15" s="640" t="e">
        <f>$AX$6*(1-AU$18)*((1+HLOOKUP($A$6,FC_Premissas!$D$5:$W$16,14,FALSE))^0.0833-1)*N15*12</f>
        <v>#REF!</v>
      </c>
      <c r="Z15" s="638">
        <f t="shared" si="3"/>
        <v>107711.97381818182</v>
      </c>
      <c r="AA15" s="640" t="e">
        <f t="shared" si="3"/>
        <v>#REF!</v>
      </c>
      <c r="AB15" s="641"/>
      <c r="AC15" s="629">
        <f t="shared" si="16"/>
        <v>4</v>
      </c>
      <c r="AD15" s="649">
        <f>'Ref_A.IX.a. Deprec. veículos'!D24*12</f>
        <v>0.11454545454545456</v>
      </c>
      <c r="AE15" s="647">
        <f t="shared" si="17"/>
        <v>0.55636363636363639</v>
      </c>
      <c r="AF15" s="642">
        <f t="shared" si="4"/>
        <v>292369.09090909094</v>
      </c>
      <c r="AG15" s="648">
        <f t="shared" si="5"/>
        <v>233130.90909090906</v>
      </c>
      <c r="AH15" s="615">
        <f t="shared" si="6"/>
        <v>0</v>
      </c>
      <c r="AI15" s="642">
        <f t="shared" si="7"/>
        <v>233130.90909090909</v>
      </c>
      <c r="AJ15" s="615"/>
      <c r="AK15" s="629">
        <f t="shared" si="18"/>
        <v>4</v>
      </c>
      <c r="AL15" s="649">
        <f>'Ref_A.IX.a. Deprec. veículos'!E24*12</f>
        <v>0.11454545454545456</v>
      </c>
      <c r="AM15" s="647">
        <f t="shared" si="19"/>
        <v>0.55636363636363639</v>
      </c>
      <c r="AN15" s="642">
        <f t="shared" si="8"/>
        <v>384991.17381818185</v>
      </c>
      <c r="AO15" s="648">
        <f t="shared" si="9"/>
        <v>306986.42618181813</v>
      </c>
      <c r="AP15" s="615">
        <f t="shared" si="10"/>
        <v>11822.400000000001</v>
      </c>
      <c r="AQ15" s="642">
        <f t="shared" si="11"/>
        <v>318808.82618181815</v>
      </c>
      <c r="AR15" s="615"/>
      <c r="AS15" s="629">
        <f t="shared" si="20"/>
        <v>4</v>
      </c>
      <c r="AT15" s="649">
        <f>'Ref_A.IX.a. Deprec. veículos'!E24*12</f>
        <v>0.11454545454545456</v>
      </c>
      <c r="AU15" s="647">
        <f t="shared" si="21"/>
        <v>0.55636363636363639</v>
      </c>
      <c r="AV15" s="642">
        <f t="shared" si="12"/>
        <v>406911.90109090909</v>
      </c>
      <c r="AW15" s="648">
        <f t="shared" si="13"/>
        <v>324465.69890909089</v>
      </c>
      <c r="AX15" s="615">
        <f t="shared" si="14"/>
        <v>11822.400000000001</v>
      </c>
      <c r="AY15" s="642">
        <f t="shared" si="15"/>
        <v>336288.09890909091</v>
      </c>
    </row>
    <row r="16" spans="1:54" x14ac:dyDescent="0.2">
      <c r="A16" s="984"/>
      <c r="B16" s="633">
        <v>8</v>
      </c>
      <c r="C16" s="634"/>
      <c r="F16" s="634">
        <f>Ent_Geral!C13</f>
        <v>0</v>
      </c>
      <c r="G16" s="598">
        <f>Ent_Geral!D13</f>
        <v>0</v>
      </c>
      <c r="H16" s="598">
        <f>Ent_Geral!E13</f>
        <v>0</v>
      </c>
      <c r="I16" s="634"/>
      <c r="J16" s="598"/>
      <c r="K16" s="598"/>
      <c r="L16" s="634">
        <f>IF(A6&lt;=$F$3,C16+F16-I16,0)</f>
        <v>0</v>
      </c>
      <c r="M16" s="598">
        <f>IF(A7&lt;=$F$3,D16+G16-J16,0)</f>
        <v>0</v>
      </c>
      <c r="N16" s="598">
        <f>IF(A6&lt;=$F$3,E16+H16-K16,0)</f>
        <v>0</v>
      </c>
      <c r="O16" s="635">
        <f>IF(A6&lt;=$F$3,F16*Q16+G16*R16+H16*S16,0)</f>
        <v>0</v>
      </c>
      <c r="P16" s="636">
        <f>IF(A6&lt;=$F$3,I16*Q16+J16*R16+K16*S16,0)</f>
        <v>0</v>
      </c>
      <c r="Q16" s="637">
        <f t="shared" si="0"/>
        <v>78347.272727272764</v>
      </c>
      <c r="R16" s="638">
        <f t="shared" si="1"/>
        <v>114989.9694545455</v>
      </c>
      <c r="S16" s="639">
        <f t="shared" si="2"/>
        <v>120864.15127272732</v>
      </c>
      <c r="T16" s="637">
        <f>L16*$AH$6*AD$20</f>
        <v>0</v>
      </c>
      <c r="U16" s="640" t="e">
        <f>$AH$6*(1-AE$19)*((1+HLOOKUP($A$6,FC_Premissas!$D$5:$W$16,14,FALSE)^0.0833-1))*L16*12</f>
        <v>#REF!</v>
      </c>
      <c r="V16" s="638">
        <f>M16*$AP$6*AL$20</f>
        <v>0</v>
      </c>
      <c r="W16" s="640" t="e">
        <f>$AP$6*(1-AM$19)*((1+HLOOKUP($A$6,FC_Premissas!$D$5:$W$16,14,FALSE))^0.0833-1)*M16*12</f>
        <v>#REF!</v>
      </c>
      <c r="X16" s="637">
        <f>N16*$AX$6*AT$20</f>
        <v>0</v>
      </c>
      <c r="Y16" s="640" t="e">
        <f>$AX$6*(1-AU$19)*((1+HLOOKUP($A$6,FC_Premissas!$D$5:$W$16,14,FALSE))^0.0833-1)*N16*12</f>
        <v>#REF!</v>
      </c>
      <c r="Z16" s="638">
        <f t="shared" si="3"/>
        <v>0</v>
      </c>
      <c r="AA16" s="640" t="e">
        <f t="shared" si="3"/>
        <v>#REF!</v>
      </c>
      <c r="AB16" s="641"/>
      <c r="AC16" s="629">
        <f t="shared" si="16"/>
        <v>5</v>
      </c>
      <c r="AD16" s="649">
        <f>'Ref_A.IX.a. Deprec. veículos'!D25*12</f>
        <v>9.818181818181819E-2</v>
      </c>
      <c r="AE16" s="647">
        <f t="shared" si="17"/>
        <v>0.65454545454545454</v>
      </c>
      <c r="AF16" s="642">
        <f t="shared" si="4"/>
        <v>343963.63636363635</v>
      </c>
      <c r="AG16" s="648">
        <f t="shared" si="5"/>
        <v>181536.36363636365</v>
      </c>
      <c r="AH16" s="615">
        <f t="shared" si="6"/>
        <v>0</v>
      </c>
      <c r="AI16" s="642">
        <f t="shared" si="7"/>
        <v>181536.36363636365</v>
      </c>
      <c r="AJ16" s="615"/>
      <c r="AK16" s="629">
        <f t="shared" si="18"/>
        <v>5</v>
      </c>
      <c r="AL16" s="649">
        <f>'Ref_A.IX.a. Deprec. veículos'!E25*12</f>
        <v>9.818181818181819E-2</v>
      </c>
      <c r="AM16" s="647">
        <f t="shared" si="19"/>
        <v>0.65454545454545454</v>
      </c>
      <c r="AN16" s="642">
        <f t="shared" si="8"/>
        <v>452930.79272727272</v>
      </c>
      <c r="AO16" s="648">
        <f t="shared" si="9"/>
        <v>239046.80727272725</v>
      </c>
      <c r="AP16" s="615">
        <f t="shared" si="10"/>
        <v>11822.400000000001</v>
      </c>
      <c r="AQ16" s="642">
        <f t="shared" si="11"/>
        <v>250869.20727272728</v>
      </c>
      <c r="AR16" s="615"/>
      <c r="AS16" s="629">
        <f t="shared" si="20"/>
        <v>5</v>
      </c>
      <c r="AT16" s="649">
        <f>'Ref_A.IX.a. Deprec. veículos'!E25*12</f>
        <v>9.818181818181819E-2</v>
      </c>
      <c r="AU16" s="647">
        <f t="shared" si="21"/>
        <v>0.65454545454545454</v>
      </c>
      <c r="AV16" s="642">
        <f t="shared" si="12"/>
        <v>478719.88363636361</v>
      </c>
      <c r="AW16" s="648">
        <f t="shared" si="13"/>
        <v>252657.71636363637</v>
      </c>
      <c r="AX16" s="615">
        <f t="shared" si="14"/>
        <v>11822.400000000001</v>
      </c>
      <c r="AY16" s="642">
        <f t="shared" si="15"/>
        <v>264480.11636363639</v>
      </c>
    </row>
    <row r="17" spans="1:51" x14ac:dyDescent="0.2">
      <c r="A17" s="984"/>
      <c r="B17" s="633">
        <v>9</v>
      </c>
      <c r="C17" s="634"/>
      <c r="F17" s="634">
        <f>Ent_Geral!C14</f>
        <v>0</v>
      </c>
      <c r="G17" s="598">
        <f>Ent_Geral!D14</f>
        <v>0</v>
      </c>
      <c r="H17" s="598">
        <f>Ent_Geral!E14</f>
        <v>4</v>
      </c>
      <c r="I17" s="634"/>
      <c r="J17" s="598"/>
      <c r="K17" s="598"/>
      <c r="L17" s="634">
        <f>IF(A6&lt;=$F$3,C17+F17-I17,0)</f>
        <v>0</v>
      </c>
      <c r="M17" s="598">
        <f>IF(A6&lt;=$F$3,D17+G17-J17,0)</f>
        <v>0</v>
      </c>
      <c r="N17" s="598">
        <f>IF(A6&lt;=$F$3,E17+H17-K17,0)</f>
        <v>4</v>
      </c>
      <c r="O17" s="635">
        <f>IF(A6&lt;=$F$3,F17*Q17+G17*R17+H17*S17,0)</f>
        <v>387712.62836363656</v>
      </c>
      <c r="P17" s="636">
        <f>IF(A6&lt;=$F$3,I17*Q17+J17*R17+K17*S17,0)</f>
        <v>0</v>
      </c>
      <c r="Q17" s="637">
        <f t="shared" si="0"/>
        <v>61149.090909090955</v>
      </c>
      <c r="R17" s="638">
        <f t="shared" si="1"/>
        <v>92343.429818181874</v>
      </c>
      <c r="S17" s="639">
        <f t="shared" si="2"/>
        <v>96928.157090909139</v>
      </c>
      <c r="T17" s="637">
        <f>L17*$AH$6*AD$21</f>
        <v>0</v>
      </c>
      <c r="U17" s="640" t="e">
        <f>$AH$6*(1-AE$20)*((1+HLOOKUP($A$6,FC_Premissas!$D$5:$W$16,14,FALSE)^0.0833-1))*L17*12</f>
        <v>#REF!</v>
      </c>
      <c r="V17" s="638">
        <f>M17*$AP$6*AL$21</f>
        <v>0</v>
      </c>
      <c r="W17" s="640" t="e">
        <f>$AP$6*(1-AM$20)*((1+HLOOKUP($A$6,FC_Premissas!$D$5:$W$16,14,FALSE))^0.0833-1)*M17*12</f>
        <v>#REF!</v>
      </c>
      <c r="X17" s="637">
        <f>N17*$AX$6*AT$21</f>
        <v>47871.988363636367</v>
      </c>
      <c r="Y17" s="640" t="e">
        <f>$AX$6*(1-AU$20)*((1+HLOOKUP($A$6,FC_Premissas!$D$5:$W$16,14,FALSE))^0.0833-1)*N17*12</f>
        <v>#REF!</v>
      </c>
      <c r="Z17" s="638">
        <f t="shared" si="3"/>
        <v>47871.988363636367</v>
      </c>
      <c r="AA17" s="640" t="e">
        <f t="shared" si="3"/>
        <v>#REF!</v>
      </c>
      <c r="AB17" s="641"/>
      <c r="AC17" s="629">
        <f t="shared" si="16"/>
        <v>6</v>
      </c>
      <c r="AD17" s="649">
        <f>'Ref_A.IX.a. Deprec. veículos'!D26*12</f>
        <v>8.1818181818181818E-2</v>
      </c>
      <c r="AE17" s="647">
        <f t="shared" si="17"/>
        <v>0.73636363636363633</v>
      </c>
      <c r="AF17" s="642">
        <f t="shared" si="4"/>
        <v>386959.09090909088</v>
      </c>
      <c r="AG17" s="648">
        <f t="shared" si="5"/>
        <v>138540.90909090912</v>
      </c>
      <c r="AH17" s="615">
        <f t="shared" si="6"/>
        <v>0</v>
      </c>
      <c r="AI17" s="642">
        <f t="shared" si="7"/>
        <v>138540.90909090912</v>
      </c>
      <c r="AJ17" s="615"/>
      <c r="AK17" s="629">
        <f t="shared" si="18"/>
        <v>6</v>
      </c>
      <c r="AL17" s="649">
        <f>'Ref_A.IX.a. Deprec. veículos'!E26*12</f>
        <v>8.1818181818181818E-2</v>
      </c>
      <c r="AM17" s="647">
        <f t="shared" si="19"/>
        <v>0.73636363636363633</v>
      </c>
      <c r="AN17" s="642">
        <f t="shared" si="8"/>
        <v>509547.14181818179</v>
      </c>
      <c r="AO17" s="648">
        <f t="shared" si="9"/>
        <v>182430.45818181819</v>
      </c>
      <c r="AP17" s="615">
        <f t="shared" si="10"/>
        <v>11822.400000000001</v>
      </c>
      <c r="AQ17" s="642">
        <f t="shared" si="11"/>
        <v>194252.85818181818</v>
      </c>
      <c r="AR17" s="615"/>
      <c r="AS17" s="629">
        <f t="shared" si="20"/>
        <v>6</v>
      </c>
      <c r="AT17" s="649">
        <f>'Ref_A.IX.a. Deprec. veículos'!E26*12</f>
        <v>8.1818181818181818E-2</v>
      </c>
      <c r="AU17" s="647">
        <f t="shared" si="21"/>
        <v>0.73636363636363633</v>
      </c>
      <c r="AV17" s="642">
        <f t="shared" si="12"/>
        <v>538559.86909090902</v>
      </c>
      <c r="AW17" s="648">
        <f t="shared" si="13"/>
        <v>192817.73090909095</v>
      </c>
      <c r="AX17" s="615">
        <f t="shared" si="14"/>
        <v>11822.400000000001</v>
      </c>
      <c r="AY17" s="642">
        <f t="shared" si="15"/>
        <v>204640.13090909092</v>
      </c>
    </row>
    <row r="18" spans="1:51" x14ac:dyDescent="0.2">
      <c r="A18" s="984"/>
      <c r="B18" s="633">
        <v>10</v>
      </c>
      <c r="C18" s="634"/>
      <c r="F18" s="634">
        <f>Ent_Geral!C15</f>
        <v>0</v>
      </c>
      <c r="G18" s="598">
        <f>Ent_Geral!D15</f>
        <v>0</v>
      </c>
      <c r="H18" s="598">
        <f>Ent_Geral!E15</f>
        <v>0</v>
      </c>
      <c r="I18" s="634"/>
      <c r="J18" s="598"/>
      <c r="K18" s="598"/>
      <c r="L18" s="634">
        <f>IF(A6&lt;=$F$3,C18+F18-I18,0)</f>
        <v>0</v>
      </c>
      <c r="M18" s="598">
        <f>IF(A6&lt;=$F$3,D18+G18-J18,0)</f>
        <v>0</v>
      </c>
      <c r="N18" s="598">
        <f>IF(A6&lt;=$F$3,E18+H18-K18,0)</f>
        <v>0</v>
      </c>
      <c r="O18" s="635">
        <f>IF(A6&lt;=$F$3,F18*Q18+G18*R18+H18*S18,0)</f>
        <v>0</v>
      </c>
      <c r="P18" s="636">
        <f>IF(A6&lt;=$F$3,I18*Q18+J18*R18+K18*S18,0)</f>
        <v>0</v>
      </c>
      <c r="Q18" s="637">
        <f t="shared" si="0"/>
        <v>52550.000000000044</v>
      </c>
      <c r="R18" s="638">
        <f t="shared" si="1"/>
        <v>81020.160000000062</v>
      </c>
      <c r="S18" s="639">
        <f t="shared" si="2"/>
        <v>84960.160000000062</v>
      </c>
      <c r="T18" s="637">
        <f>L18*$AH$6*AD$22</f>
        <v>0</v>
      </c>
      <c r="U18" s="640" t="e">
        <f>$AH$6*(1-AE$21)*((1+HLOOKUP($A$6,FC_Premissas!$D$5:$W$16,14,FALSE)^0.0833-1))*L18*12</f>
        <v>#REF!</v>
      </c>
      <c r="V18" s="638">
        <f>M18*$AP$6*AL$22</f>
        <v>0</v>
      </c>
      <c r="W18" s="640" t="e">
        <f>$AP$6*(1-AM$21)*((1+HLOOKUP($A$6,FC_Premissas!$D$5:$W$16,14,FALSE))^0.0833-1)*M18*12</f>
        <v>#REF!</v>
      </c>
      <c r="X18" s="637">
        <f>N18*$AX$6*AT$22</f>
        <v>0</v>
      </c>
      <c r="Y18" s="640" t="e">
        <f>$AX$6*(1-AU$21)*((1+HLOOKUP($A$6,FC_Premissas!$D$5:$W$16,14,FALSE))^0.0833-1)*N18*12</f>
        <v>#REF!</v>
      </c>
      <c r="Z18" s="638">
        <f t="shared" si="3"/>
        <v>0</v>
      </c>
      <c r="AA18" s="640" t="e">
        <f t="shared" si="3"/>
        <v>#REF!</v>
      </c>
      <c r="AB18" s="641"/>
      <c r="AC18" s="629">
        <f t="shared" si="16"/>
        <v>7</v>
      </c>
      <c r="AD18" s="649">
        <f>'Ref_A.IX.a. Deprec. veículos'!D27*12</f>
        <v>6.545454545454546E-2</v>
      </c>
      <c r="AE18" s="647">
        <f t="shared" si="17"/>
        <v>0.80181818181818176</v>
      </c>
      <c r="AF18" s="642">
        <f t="shared" si="4"/>
        <v>421355.45454545453</v>
      </c>
      <c r="AG18" s="648">
        <f t="shared" si="5"/>
        <v>104144.54545454547</v>
      </c>
      <c r="AH18" s="615">
        <f t="shared" si="6"/>
        <v>0</v>
      </c>
      <c r="AI18" s="642">
        <f t="shared" si="7"/>
        <v>104144.54545454548</v>
      </c>
      <c r="AJ18" s="615"/>
      <c r="AK18" s="629">
        <f t="shared" si="18"/>
        <v>7</v>
      </c>
      <c r="AL18" s="649">
        <f>'Ref_A.IX.a. Deprec. veículos'!E27*12</f>
        <v>6.545454545454546E-2</v>
      </c>
      <c r="AM18" s="647">
        <f t="shared" si="19"/>
        <v>0.80181818181818176</v>
      </c>
      <c r="AN18" s="642">
        <f t="shared" si="8"/>
        <v>554840.22109090898</v>
      </c>
      <c r="AO18" s="648">
        <f t="shared" si="9"/>
        <v>137137.378909091</v>
      </c>
      <c r="AP18" s="615">
        <f t="shared" si="10"/>
        <v>11822.400000000001</v>
      </c>
      <c r="AQ18" s="642">
        <f t="shared" si="11"/>
        <v>148959.77890909094</v>
      </c>
      <c r="AR18" s="615"/>
      <c r="AS18" s="629">
        <f t="shared" si="20"/>
        <v>7</v>
      </c>
      <c r="AT18" s="649">
        <f>'Ref_A.IX.a. Deprec. veículos'!E27*12</f>
        <v>6.545454545454546E-2</v>
      </c>
      <c r="AU18" s="647">
        <f t="shared" si="21"/>
        <v>0.80181818181818176</v>
      </c>
      <c r="AV18" s="642">
        <f t="shared" si="12"/>
        <v>586431.85745454545</v>
      </c>
      <c r="AW18" s="648">
        <f t="shared" si="13"/>
        <v>144945.74254545453</v>
      </c>
      <c r="AX18" s="615">
        <f t="shared" si="14"/>
        <v>11822.400000000001</v>
      </c>
      <c r="AY18" s="642">
        <f t="shared" si="15"/>
        <v>156768.14254545458</v>
      </c>
    </row>
    <row r="19" spans="1:51" x14ac:dyDescent="0.2">
      <c r="A19" s="984"/>
      <c r="B19" s="633">
        <v>11</v>
      </c>
      <c r="C19" s="634"/>
      <c r="F19" s="634"/>
      <c r="G19" s="598"/>
      <c r="H19" s="598"/>
      <c r="I19" s="634"/>
      <c r="J19" s="598"/>
      <c r="K19" s="598"/>
      <c r="L19" s="634">
        <f>IF(A6&lt;=$F$3,C19+F19-I19,0)</f>
        <v>0</v>
      </c>
      <c r="M19" s="598">
        <f>IF(A6&lt;=$F$3,D19+G19-J19,0)</f>
        <v>0</v>
      </c>
      <c r="N19" s="598">
        <f>IF(A6&lt;=$F$3,E19+H19-K19,0)</f>
        <v>0</v>
      </c>
      <c r="O19" s="635">
        <f>IF(A6&lt;=$F$3,F19*Q19+G19*R19+H19*S19,0)</f>
        <v>0</v>
      </c>
      <c r="P19" s="636">
        <f>IF(A6&lt;=$F$3,I19*Q19+J19*R19+K19*S19,0)</f>
        <v>0</v>
      </c>
      <c r="Q19" s="637">
        <f t="shared" si="0"/>
        <v>52550.000000000044</v>
      </c>
      <c r="R19" s="638">
        <f t="shared" si="1"/>
        <v>81020.160000000062</v>
      </c>
      <c r="S19" s="639">
        <f t="shared" si="2"/>
        <v>84960.160000000062</v>
      </c>
      <c r="T19" s="637">
        <f>L19*$AH$6*AD$23</f>
        <v>0</v>
      </c>
      <c r="U19" s="640" t="e">
        <f>$AH$6*(1-AE$22)*((1+HLOOKUP($A$6,FC_Premissas!$D$5:$W$16,14,FALSE)^0.0833-1))*L19*12</f>
        <v>#REF!</v>
      </c>
      <c r="V19" s="638">
        <f>M19*$AP$6*AL$23</f>
        <v>0</v>
      </c>
      <c r="W19" s="640" t="e">
        <f>$AP$6*(1-AM$22)*((1+HLOOKUP($A$6,FC_Premissas!$D$5:$W$16,14,FALSE))^0.0833-1)*M19*12</f>
        <v>#REF!</v>
      </c>
      <c r="X19" s="637">
        <f>N19*$AX$6*AT$23</f>
        <v>0</v>
      </c>
      <c r="Y19" s="640" t="e">
        <f>$AX$6*(1-AU$22)*((1+HLOOKUP($A$6,FC_Premissas!$D$5:$W$16,14,FALSE))^0.0833-1)*N19*12</f>
        <v>#REF!</v>
      </c>
      <c r="Z19" s="638">
        <f t="shared" si="3"/>
        <v>0</v>
      </c>
      <c r="AA19" s="640" t="e">
        <f t="shared" si="3"/>
        <v>#REF!</v>
      </c>
      <c r="AB19" s="641"/>
      <c r="AC19" s="629">
        <f t="shared" si="16"/>
        <v>8</v>
      </c>
      <c r="AD19" s="649">
        <f>'Ref_A.IX.a. Deprec. veículos'!D28*12</f>
        <v>4.9090909090909095E-2</v>
      </c>
      <c r="AE19" s="647">
        <f t="shared" si="17"/>
        <v>0.85090909090909084</v>
      </c>
      <c r="AF19" s="642">
        <f t="shared" si="4"/>
        <v>447152.72727272724</v>
      </c>
      <c r="AG19" s="648">
        <f t="shared" si="5"/>
        <v>78347.272727272764</v>
      </c>
      <c r="AH19" s="615">
        <f t="shared" si="6"/>
        <v>0</v>
      </c>
      <c r="AI19" s="642">
        <f t="shared" si="7"/>
        <v>78347.272727272764</v>
      </c>
      <c r="AJ19" s="615"/>
      <c r="AK19" s="629">
        <f t="shared" si="18"/>
        <v>8</v>
      </c>
      <c r="AL19" s="649">
        <f>'Ref_A.IX.a. Deprec. veículos'!E28*12</f>
        <v>4.9090909090909095E-2</v>
      </c>
      <c r="AM19" s="647">
        <f t="shared" si="19"/>
        <v>0.85090909090909084</v>
      </c>
      <c r="AN19" s="642">
        <f t="shared" si="8"/>
        <v>588810.03054545447</v>
      </c>
      <c r="AO19" s="648">
        <f t="shared" si="9"/>
        <v>103167.5694545455</v>
      </c>
      <c r="AP19" s="615">
        <f t="shared" si="10"/>
        <v>11822.400000000001</v>
      </c>
      <c r="AQ19" s="642">
        <f t="shared" si="11"/>
        <v>114989.9694545455</v>
      </c>
      <c r="AR19" s="615"/>
      <c r="AS19" s="629">
        <f t="shared" si="20"/>
        <v>8</v>
      </c>
      <c r="AT19" s="649">
        <f>'Ref_A.IX.a. Deprec. veículos'!E28*12</f>
        <v>4.9090909090909095E-2</v>
      </c>
      <c r="AU19" s="647">
        <f t="shared" si="21"/>
        <v>0.85090909090909084</v>
      </c>
      <c r="AV19" s="642">
        <f t="shared" si="12"/>
        <v>622335.84872727271</v>
      </c>
      <c r="AW19" s="648">
        <f t="shared" si="13"/>
        <v>109041.75127272727</v>
      </c>
      <c r="AX19" s="615">
        <f t="shared" si="14"/>
        <v>11822.400000000001</v>
      </c>
      <c r="AY19" s="642">
        <f t="shared" si="15"/>
        <v>120864.15127272732</v>
      </c>
    </row>
    <row r="20" spans="1:51" x14ac:dyDescent="0.2">
      <c r="A20" s="984"/>
      <c r="B20" s="633">
        <v>12</v>
      </c>
      <c r="C20" s="634"/>
      <c r="F20" s="634"/>
      <c r="G20" s="598"/>
      <c r="H20" s="598"/>
      <c r="I20" s="634"/>
      <c r="J20" s="598"/>
      <c r="K20" s="598"/>
      <c r="L20" s="634">
        <f>IF(A6&lt;=$F$3,C20+F20-I20,0)</f>
        <v>0</v>
      </c>
      <c r="M20" s="598">
        <f>IF(A6&lt;=$F$3,D20+G20-J20,0)</f>
        <v>0</v>
      </c>
      <c r="N20" s="598">
        <f>IF(A6&lt;=$F$3,E20+H20-K20,0)</f>
        <v>0</v>
      </c>
      <c r="O20" s="635">
        <f>IF(A6&lt;=$F$3,F20*Q20+G20*R20+H20*S20,0)</f>
        <v>0</v>
      </c>
      <c r="P20" s="636">
        <f>IF(A6&lt;=$F$3,I20*Q20+J20*R20+K20*S20,0)</f>
        <v>0</v>
      </c>
      <c r="Q20" s="637">
        <f t="shared" si="0"/>
        <v>52550.000000000044</v>
      </c>
      <c r="R20" s="638">
        <f t="shared" si="1"/>
        <v>81020.160000000062</v>
      </c>
      <c r="S20" s="639">
        <f t="shared" si="2"/>
        <v>84960.160000000062</v>
      </c>
      <c r="T20" s="637">
        <f>L20*$AH$6*AD$24</f>
        <v>0</v>
      </c>
      <c r="U20" s="640" t="e">
        <f>$AH$6*(1-AE$23)*((1+HLOOKUP($A$6,FC_Premissas!$D$5:$W$16,14,FALSE)^0.0833-1))*L20*12</f>
        <v>#REF!</v>
      </c>
      <c r="V20" s="638">
        <f>M20*$AP$6*AL$24</f>
        <v>0</v>
      </c>
      <c r="W20" s="640" t="e">
        <f>$AP$6*(1-AM$23)*((1+HLOOKUP($A$6,FC_Premissas!$D$5:$W$16,14,FALSE))^0.0833-1)*M20*12</f>
        <v>#REF!</v>
      </c>
      <c r="X20" s="637">
        <f>N20*$AX$6*AT$24</f>
        <v>0</v>
      </c>
      <c r="Y20" s="640" t="e">
        <f>$AX$6*(1-AU$23)*((1+HLOOKUP($A$6,FC_Premissas!$D$5:$W$16,14,FALSE))^0.0833-1)*N20*12</f>
        <v>#REF!</v>
      </c>
      <c r="Z20" s="638">
        <f t="shared" si="3"/>
        <v>0</v>
      </c>
      <c r="AA20" s="640" t="e">
        <f t="shared" si="3"/>
        <v>#REF!</v>
      </c>
      <c r="AB20" s="641"/>
      <c r="AC20" s="629">
        <f t="shared" si="16"/>
        <v>9</v>
      </c>
      <c r="AD20" s="649">
        <f>'Ref_A.IX.a. Deprec. veículos'!D29*12</f>
        <v>3.272727272727273E-2</v>
      </c>
      <c r="AE20" s="647">
        <f t="shared" si="17"/>
        <v>0.88363636363636355</v>
      </c>
      <c r="AF20" s="642">
        <f t="shared" si="4"/>
        <v>464350.90909090906</v>
      </c>
      <c r="AG20" s="648">
        <f t="shared" si="5"/>
        <v>61149.090909090941</v>
      </c>
      <c r="AH20" s="615">
        <f t="shared" si="6"/>
        <v>0</v>
      </c>
      <c r="AI20" s="642">
        <f t="shared" si="7"/>
        <v>61149.090909090955</v>
      </c>
      <c r="AJ20" s="615"/>
      <c r="AK20" s="629">
        <f t="shared" si="18"/>
        <v>9</v>
      </c>
      <c r="AL20" s="649">
        <f>'Ref_A.IX.a. Deprec. veículos'!E29*12</f>
        <v>3.272727272727273E-2</v>
      </c>
      <c r="AM20" s="647">
        <f t="shared" si="19"/>
        <v>0.88363636363636355</v>
      </c>
      <c r="AN20" s="642">
        <f t="shared" si="8"/>
        <v>611456.5701818181</v>
      </c>
      <c r="AO20" s="648">
        <f t="shared" si="9"/>
        <v>80521.02981818188</v>
      </c>
      <c r="AP20" s="615">
        <f t="shared" si="10"/>
        <v>11822.400000000001</v>
      </c>
      <c r="AQ20" s="642">
        <f t="shared" si="11"/>
        <v>92343.429818181874</v>
      </c>
      <c r="AR20" s="615"/>
      <c r="AS20" s="629">
        <f t="shared" si="20"/>
        <v>9</v>
      </c>
      <c r="AT20" s="649">
        <f>'Ref_A.IX.a. Deprec. veículos'!E29*12</f>
        <v>3.272727272727273E-2</v>
      </c>
      <c r="AU20" s="647">
        <f t="shared" si="21"/>
        <v>0.88363636363636355</v>
      </c>
      <c r="AV20" s="642">
        <f t="shared" si="12"/>
        <v>646271.8429090908</v>
      </c>
      <c r="AW20" s="648">
        <f t="shared" si="13"/>
        <v>85105.757090909174</v>
      </c>
      <c r="AX20" s="615">
        <f t="shared" si="14"/>
        <v>11822.400000000001</v>
      </c>
      <c r="AY20" s="642">
        <f t="shared" si="15"/>
        <v>96928.157090909139</v>
      </c>
    </row>
    <row r="21" spans="1:51" x14ac:dyDescent="0.2">
      <c r="A21" s="984"/>
      <c r="B21" s="633">
        <v>13</v>
      </c>
      <c r="C21" s="634"/>
      <c r="E21" s="650"/>
      <c r="F21" s="634"/>
      <c r="G21" s="598"/>
      <c r="H21" s="598"/>
      <c r="I21" s="634"/>
      <c r="J21" s="598"/>
      <c r="K21" s="598"/>
      <c r="L21" s="634">
        <f>IF(A6&lt;=$F$3,C21+F21-I21,0)</f>
        <v>0</v>
      </c>
      <c r="M21" s="598">
        <f>IF(A6&lt;=$F$3,D21+G21-J21,0)</f>
        <v>0</v>
      </c>
      <c r="N21" s="598">
        <f>IF(A6&lt;=$F$3,E21+H21-K21,0)</f>
        <v>0</v>
      </c>
      <c r="O21" s="635">
        <f>IF(A6&lt;=$F$3,F21*Q21+G21*R21+H21*S21,0)</f>
        <v>0</v>
      </c>
      <c r="P21" s="636">
        <f>IF(A6&lt;=$F$3,I21*Q21+J21*R21+K21*S21,0)</f>
        <v>0</v>
      </c>
      <c r="Q21" s="637">
        <f t="shared" si="0"/>
        <v>52550.000000000044</v>
      </c>
      <c r="R21" s="638">
        <f t="shared" si="1"/>
        <v>81020.160000000062</v>
      </c>
      <c r="S21" s="639">
        <f t="shared" si="2"/>
        <v>84960.160000000062</v>
      </c>
      <c r="T21" s="637">
        <f>L21*$AH$6*AD$25</f>
        <v>0</v>
      </c>
      <c r="U21" s="640" t="e">
        <f>$AH$6*(1-AE$24)*((1+HLOOKUP($A$6,FC_Premissas!$D$5:$W$16,14,FALSE)^0.0833-1))*L21*12</f>
        <v>#REF!</v>
      </c>
      <c r="V21" s="638">
        <f>M21*$AP$6*AL$25</f>
        <v>0</v>
      </c>
      <c r="W21" s="640" t="e">
        <f>$AP$6*(1-AM$24)*((1+HLOOKUP($A$6,FC_Premissas!$D$5:$W$16,14,FALSE))^0.0833-1)*M21*12</f>
        <v>#REF!</v>
      </c>
      <c r="X21" s="637">
        <f>N21*$AX$6*AT$25</f>
        <v>0</v>
      </c>
      <c r="Y21" s="640" t="e">
        <f>$AX$6*(1-AU$24)*((1+HLOOKUP($A$6,FC_Premissas!$D$5:$W$16,14,FALSE))^0.0833-1)*N21*12</f>
        <v>#REF!</v>
      </c>
      <c r="Z21" s="638">
        <f t="shared" si="3"/>
        <v>0</v>
      </c>
      <c r="AA21" s="640" t="e">
        <f t="shared" si="3"/>
        <v>#REF!</v>
      </c>
      <c r="AB21" s="641"/>
      <c r="AC21" s="629">
        <f t="shared" si="16"/>
        <v>10</v>
      </c>
      <c r="AD21" s="649">
        <f>'Ref_A.IX.a. Deprec. veículos'!D30*12</f>
        <v>1.6363636363636365E-2</v>
      </c>
      <c r="AE21" s="647">
        <f t="shared" si="17"/>
        <v>0.89999999999999991</v>
      </c>
      <c r="AF21" s="642">
        <f t="shared" si="4"/>
        <v>472949.99999999994</v>
      </c>
      <c r="AG21" s="648">
        <f t="shared" si="5"/>
        <v>52550.000000000058</v>
      </c>
      <c r="AH21" s="615">
        <f t="shared" si="6"/>
        <v>0</v>
      </c>
      <c r="AI21" s="642">
        <f t="shared" si="7"/>
        <v>52550.000000000044</v>
      </c>
      <c r="AJ21" s="615"/>
      <c r="AK21" s="629">
        <f t="shared" si="18"/>
        <v>10</v>
      </c>
      <c r="AL21" s="649">
        <f>'Ref_A.IX.a. Deprec. veículos'!E30*12</f>
        <v>1.6363636363636365E-2</v>
      </c>
      <c r="AM21" s="647">
        <f t="shared" si="19"/>
        <v>0.89999999999999991</v>
      </c>
      <c r="AN21" s="642">
        <f t="shared" si="8"/>
        <v>622779.84</v>
      </c>
      <c r="AO21" s="648">
        <f t="shared" si="9"/>
        <v>69197.760000000009</v>
      </c>
      <c r="AP21" s="615">
        <f t="shared" si="10"/>
        <v>11822.400000000001</v>
      </c>
      <c r="AQ21" s="642">
        <f t="shared" si="11"/>
        <v>81020.160000000062</v>
      </c>
      <c r="AR21" s="615"/>
      <c r="AS21" s="629">
        <f t="shared" si="20"/>
        <v>10</v>
      </c>
      <c r="AT21" s="649">
        <f>'Ref_A.IX.a. Deprec. veículos'!E30*12</f>
        <v>1.6363636363636365E-2</v>
      </c>
      <c r="AU21" s="647">
        <f t="shared" si="21"/>
        <v>0.89999999999999991</v>
      </c>
      <c r="AV21" s="642">
        <f t="shared" si="12"/>
        <v>658239.84</v>
      </c>
      <c r="AW21" s="648">
        <f t="shared" si="13"/>
        <v>73137.760000000009</v>
      </c>
      <c r="AX21" s="615">
        <f t="shared" si="14"/>
        <v>11822.400000000001</v>
      </c>
      <c r="AY21" s="642">
        <f t="shared" si="15"/>
        <v>84960.160000000062</v>
      </c>
    </row>
    <row r="22" spans="1:51" x14ac:dyDescent="0.2">
      <c r="A22" s="984"/>
      <c r="B22" s="633">
        <v>14</v>
      </c>
      <c r="C22" s="634"/>
      <c r="E22" s="650"/>
      <c r="F22" s="634"/>
      <c r="G22" s="598"/>
      <c r="H22" s="598"/>
      <c r="I22" s="634"/>
      <c r="J22" s="598"/>
      <c r="K22" s="598"/>
      <c r="L22" s="634">
        <f>IF(A6&lt;=$F$3,C22+F22-I22,0)</f>
        <v>0</v>
      </c>
      <c r="M22" s="598">
        <f>IF(A6&lt;=$F$3,D22+G22-J22,0)</f>
        <v>0</v>
      </c>
      <c r="N22" s="598">
        <f>IF(A6&lt;=$F$3,E22+H22-K22,0)</f>
        <v>0</v>
      </c>
      <c r="O22" s="635">
        <f>IF(A6&lt;=$F$3,F22*Q22+G22*R22+H22*S22,0)</f>
        <v>0</v>
      </c>
      <c r="P22" s="636">
        <f>IF(A6&lt;=$F$3,I22*Q22+J22*R22+K22*S22,0)</f>
        <v>0</v>
      </c>
      <c r="Q22" s="637">
        <f t="shared" si="0"/>
        <v>52550.000000000044</v>
      </c>
      <c r="R22" s="638">
        <f t="shared" si="1"/>
        <v>81020.160000000062</v>
      </c>
      <c r="S22" s="639">
        <f t="shared" si="2"/>
        <v>84960.160000000062</v>
      </c>
      <c r="T22" s="637">
        <f>L22*$AH$6*AD$26</f>
        <v>0</v>
      </c>
      <c r="U22" s="640" t="e">
        <f>$AH$6*(1-AE$25)*((1+HLOOKUP($A$6,FC_Premissas!$D$5:$W$16,14,FALSE)^0.0833-1))*L22*12</f>
        <v>#REF!</v>
      </c>
      <c r="V22" s="638">
        <f>M22*$AP$6*AL$26</f>
        <v>0</v>
      </c>
      <c r="W22" s="640" t="e">
        <f>$AP$6*(1-AM$25)*((1+HLOOKUP($A$6,FC_Premissas!$D$5:$W$16,14,FALSE))^0.0833-1)*M22*12</f>
        <v>#REF!</v>
      </c>
      <c r="X22" s="637">
        <f>N22*$AX$6*AT$26</f>
        <v>0</v>
      </c>
      <c r="Y22" s="640" t="e">
        <f>$AX$6*(1-AU$25)*((1+HLOOKUP($A$6,FC_Premissas!$D$5:$W$16,14,FALSE))^0.0833-1)*N22*12</f>
        <v>#REF!</v>
      </c>
      <c r="Z22" s="638">
        <f t="shared" si="3"/>
        <v>0</v>
      </c>
      <c r="AA22" s="640" t="e">
        <f t="shared" si="3"/>
        <v>#REF!</v>
      </c>
      <c r="AB22" s="641"/>
      <c r="AC22" s="629">
        <f t="shared" si="16"/>
        <v>11</v>
      </c>
      <c r="AD22" s="649">
        <f>'Ref_A.IX.a. Deprec. veículos'!D31*12</f>
        <v>0</v>
      </c>
      <c r="AE22" s="647">
        <f t="shared" si="17"/>
        <v>0.89999999999999991</v>
      </c>
      <c r="AF22" s="642">
        <f t="shared" si="4"/>
        <v>472949.99999999994</v>
      </c>
      <c r="AG22" s="648">
        <f t="shared" si="5"/>
        <v>52550.000000000058</v>
      </c>
      <c r="AH22" s="615">
        <f t="shared" si="6"/>
        <v>0</v>
      </c>
      <c r="AI22" s="642">
        <f t="shared" si="7"/>
        <v>52550.000000000044</v>
      </c>
      <c r="AJ22" s="615"/>
      <c r="AK22" s="629">
        <f t="shared" si="18"/>
        <v>11</v>
      </c>
      <c r="AL22" s="649">
        <f>'Ref_A.IX.a. Deprec. veículos'!E31*12</f>
        <v>0</v>
      </c>
      <c r="AM22" s="647">
        <f t="shared" si="19"/>
        <v>0.89999999999999991</v>
      </c>
      <c r="AN22" s="642">
        <f t="shared" si="8"/>
        <v>622779.84</v>
      </c>
      <c r="AO22" s="648">
        <f t="shared" si="9"/>
        <v>69197.760000000009</v>
      </c>
      <c r="AP22" s="615">
        <f t="shared" si="10"/>
        <v>11822.400000000001</v>
      </c>
      <c r="AQ22" s="642">
        <f t="shared" si="11"/>
        <v>81020.160000000062</v>
      </c>
      <c r="AR22" s="615"/>
      <c r="AS22" s="629">
        <f t="shared" si="20"/>
        <v>11</v>
      </c>
      <c r="AT22" s="649">
        <f>'Ref_A.IX.a. Deprec. veículos'!E31*12</f>
        <v>0</v>
      </c>
      <c r="AU22" s="647">
        <f t="shared" si="21"/>
        <v>0.89999999999999991</v>
      </c>
      <c r="AV22" s="642">
        <f t="shared" si="12"/>
        <v>658239.84</v>
      </c>
      <c r="AW22" s="648">
        <f t="shared" si="13"/>
        <v>73137.760000000009</v>
      </c>
      <c r="AX22" s="615">
        <f t="shared" si="14"/>
        <v>11822.400000000001</v>
      </c>
      <c r="AY22" s="642">
        <f t="shared" si="15"/>
        <v>84960.160000000062</v>
      </c>
    </row>
    <row r="23" spans="1:51" x14ac:dyDescent="0.2">
      <c r="A23" s="984"/>
      <c r="B23" s="633">
        <v>15</v>
      </c>
      <c r="C23" s="634"/>
      <c r="E23" s="650"/>
      <c r="F23" s="634"/>
      <c r="G23" s="598"/>
      <c r="H23" s="598"/>
      <c r="I23" s="634"/>
      <c r="J23" s="598"/>
      <c r="K23" s="598"/>
      <c r="L23" s="634">
        <f>IF(A6&lt;=$F$3,C23+F23-I23,0)</f>
        <v>0</v>
      </c>
      <c r="M23" s="598">
        <f>IF(A6&lt;=$F$3,D23+G23-J23,0)</f>
        <v>0</v>
      </c>
      <c r="N23" s="598">
        <f>IF(A6&lt;=$F$3,E23+H23-K23,0)</f>
        <v>0</v>
      </c>
      <c r="O23" s="635">
        <f>IF(A6&lt;=$F$3,F23*Q23+G23*R23+H23*S23,0)</f>
        <v>0</v>
      </c>
      <c r="P23" s="636">
        <f>IF(A6&lt;=$F$3,I23*Q23+J23*R23+K23*S23,0)</f>
        <v>0</v>
      </c>
      <c r="Q23" s="637">
        <f t="shared" si="0"/>
        <v>52550.000000000044</v>
      </c>
      <c r="R23" s="638">
        <f t="shared" si="1"/>
        <v>81020.160000000062</v>
      </c>
      <c r="S23" s="639">
        <f t="shared" si="2"/>
        <v>84960.160000000062</v>
      </c>
      <c r="T23" s="637">
        <f t="shared" ref="T23:T28" si="22">L23*$AH$6*AD$27</f>
        <v>0</v>
      </c>
      <c r="U23" s="640" t="e">
        <f>$AH$6*(1-AE$26)*((1+HLOOKUP($A$6,FC_Premissas!$D$5:$W$16,14,FALSE)^0.0833-1))*L23*12</f>
        <v>#REF!</v>
      </c>
      <c r="V23" s="638">
        <f t="shared" ref="V23:V28" si="23">M23*$AP$6*AL$27</f>
        <v>0</v>
      </c>
      <c r="W23" s="640" t="e">
        <f>$AP$6*(1-AM$26)*((1+HLOOKUP($A$6,FC_Premissas!$D$5:$W$16,14,FALSE))^0.0833-1)*M23*12</f>
        <v>#REF!</v>
      </c>
      <c r="X23" s="637">
        <f t="shared" ref="X23:X28" si="24">N23*$AX$6*AT$27</f>
        <v>0</v>
      </c>
      <c r="Y23" s="640" t="e">
        <f>$AX$6*(1-AU$26)*((1+HLOOKUP($A$6,FC_Premissas!$D$5:$W$16,14,FALSE))^0.0833-1)*N23*12</f>
        <v>#REF!</v>
      </c>
      <c r="Z23" s="638">
        <f t="shared" si="3"/>
        <v>0</v>
      </c>
      <c r="AA23" s="640" t="e">
        <f t="shared" si="3"/>
        <v>#REF!</v>
      </c>
      <c r="AB23" s="641"/>
      <c r="AC23" s="629">
        <f t="shared" si="16"/>
        <v>12</v>
      </c>
      <c r="AD23" s="649">
        <f>'Ref_A.IX.a. Deprec. veículos'!D32*12</f>
        <v>0</v>
      </c>
      <c r="AE23" s="647">
        <f t="shared" si="17"/>
        <v>0.89999999999999991</v>
      </c>
      <c r="AF23" s="642">
        <f t="shared" si="4"/>
        <v>472949.99999999994</v>
      </c>
      <c r="AG23" s="648">
        <f t="shared" si="5"/>
        <v>52550.000000000058</v>
      </c>
      <c r="AH23" s="615">
        <f t="shared" si="6"/>
        <v>0</v>
      </c>
      <c r="AI23" s="642">
        <f t="shared" si="7"/>
        <v>52550.000000000044</v>
      </c>
      <c r="AJ23" s="615"/>
      <c r="AK23" s="629">
        <f t="shared" si="18"/>
        <v>12</v>
      </c>
      <c r="AL23" s="649">
        <f>'Ref_A.IX.a. Deprec. veículos'!E32*12</f>
        <v>0</v>
      </c>
      <c r="AM23" s="647">
        <f t="shared" si="19"/>
        <v>0.89999999999999991</v>
      </c>
      <c r="AN23" s="642">
        <f t="shared" si="8"/>
        <v>622779.84</v>
      </c>
      <c r="AO23" s="648">
        <f t="shared" si="9"/>
        <v>69197.760000000009</v>
      </c>
      <c r="AP23" s="615">
        <f t="shared" si="10"/>
        <v>11822.400000000001</v>
      </c>
      <c r="AQ23" s="642">
        <f t="shared" si="11"/>
        <v>81020.160000000062</v>
      </c>
      <c r="AR23" s="615"/>
      <c r="AS23" s="629">
        <f t="shared" si="20"/>
        <v>12</v>
      </c>
      <c r="AT23" s="649">
        <f>'Ref_A.IX.a. Deprec. veículos'!E32*12</f>
        <v>0</v>
      </c>
      <c r="AU23" s="647">
        <f t="shared" si="21"/>
        <v>0.89999999999999991</v>
      </c>
      <c r="AV23" s="642">
        <f t="shared" si="12"/>
        <v>658239.84</v>
      </c>
      <c r="AW23" s="648">
        <f t="shared" si="13"/>
        <v>73137.760000000009</v>
      </c>
      <c r="AX23" s="615">
        <f t="shared" si="14"/>
        <v>11822.400000000001</v>
      </c>
      <c r="AY23" s="642">
        <f t="shared" si="15"/>
        <v>84960.160000000062</v>
      </c>
    </row>
    <row r="24" spans="1:51" x14ac:dyDescent="0.2">
      <c r="A24" s="984"/>
      <c r="B24" s="633">
        <v>16</v>
      </c>
      <c r="C24" s="634"/>
      <c r="E24" s="650"/>
      <c r="F24" s="634"/>
      <c r="G24" s="598"/>
      <c r="H24" s="598"/>
      <c r="I24" s="634"/>
      <c r="J24" s="598"/>
      <c r="K24" s="598"/>
      <c r="L24" s="634">
        <f>IF(A6&lt;=$F$3,C24+F24-I24,0)</f>
        <v>0</v>
      </c>
      <c r="M24" s="598">
        <f>IF(A6&lt;=$F$3,D24+G24-J24,0)</f>
        <v>0</v>
      </c>
      <c r="N24" s="598">
        <f>IF(A6&lt;=$F$3,E24+H24-K24,0)</f>
        <v>0</v>
      </c>
      <c r="O24" s="635">
        <f>IF(A6&lt;=$F$3,F24*Q24+G24*R24+H24*S24,0)</f>
        <v>0</v>
      </c>
      <c r="P24" s="636">
        <f>IF(A6&lt;=$F$3,I24*Q24+J24*R24+K24*S24,0)</f>
        <v>0</v>
      </c>
      <c r="Q24" s="637">
        <f t="shared" si="0"/>
        <v>52550.000000000044</v>
      </c>
      <c r="R24" s="638">
        <f t="shared" si="1"/>
        <v>81020.160000000062</v>
      </c>
      <c r="S24" s="639">
        <f t="shared" si="2"/>
        <v>84960.160000000062</v>
      </c>
      <c r="T24" s="637">
        <f t="shared" si="22"/>
        <v>0</v>
      </c>
      <c r="U24" s="640" t="e">
        <f>$AH$6*(1-AE$27)*((1+HLOOKUP($A$6,FC_Premissas!$D$5:$W$16,14,FALSE)^0.0833-1))*L24*12</f>
        <v>#REF!</v>
      </c>
      <c r="V24" s="638">
        <f t="shared" si="23"/>
        <v>0</v>
      </c>
      <c r="W24" s="640" t="e">
        <f>$AP$6*(1-AM$27)*((1+HLOOKUP($A$6,FC_Premissas!$D$5:$W$16,14,FALSE))^0.0833-1)*M24*12</f>
        <v>#REF!</v>
      </c>
      <c r="X24" s="637">
        <f t="shared" si="24"/>
        <v>0</v>
      </c>
      <c r="Y24" s="640" t="e">
        <f>$AX$6*(1-AU$27)*((1+HLOOKUP($A$6,FC_Premissas!$D$5:$W$16,14,FALSE))^0.0833-1)*N24*12</f>
        <v>#REF!</v>
      </c>
      <c r="Z24" s="638">
        <f t="shared" si="3"/>
        <v>0</v>
      </c>
      <c r="AA24" s="640" t="e">
        <f t="shared" si="3"/>
        <v>#REF!</v>
      </c>
      <c r="AB24" s="641"/>
      <c r="AC24" s="629">
        <f t="shared" si="16"/>
        <v>13</v>
      </c>
      <c r="AD24" s="649">
        <f>'Ref_A.IX.a. Deprec. veículos'!D33*12</f>
        <v>0</v>
      </c>
      <c r="AE24" s="647">
        <f t="shared" si="17"/>
        <v>0.89999999999999991</v>
      </c>
      <c r="AF24" s="642">
        <f t="shared" si="4"/>
        <v>472949.99999999994</v>
      </c>
      <c r="AG24" s="648">
        <f t="shared" si="5"/>
        <v>52550.000000000058</v>
      </c>
      <c r="AH24" s="615">
        <f t="shared" si="6"/>
        <v>0</v>
      </c>
      <c r="AI24" s="642">
        <f t="shared" si="7"/>
        <v>52550.000000000044</v>
      </c>
      <c r="AJ24" s="615"/>
      <c r="AK24" s="629">
        <f t="shared" si="18"/>
        <v>13</v>
      </c>
      <c r="AL24" s="649">
        <f>'Ref_A.IX.a. Deprec. veículos'!E33*12</f>
        <v>0</v>
      </c>
      <c r="AM24" s="647">
        <f t="shared" si="19"/>
        <v>0.89999999999999991</v>
      </c>
      <c r="AN24" s="642">
        <f t="shared" si="8"/>
        <v>622779.84</v>
      </c>
      <c r="AO24" s="648">
        <f t="shared" si="9"/>
        <v>69197.760000000009</v>
      </c>
      <c r="AP24" s="615">
        <f t="shared" si="10"/>
        <v>11822.400000000001</v>
      </c>
      <c r="AQ24" s="642">
        <f t="shared" si="11"/>
        <v>81020.160000000062</v>
      </c>
      <c r="AR24" s="615"/>
      <c r="AS24" s="629">
        <f t="shared" si="20"/>
        <v>13</v>
      </c>
      <c r="AT24" s="649">
        <f>'Ref_A.IX.a. Deprec. veículos'!E33*12</f>
        <v>0</v>
      </c>
      <c r="AU24" s="647">
        <f t="shared" si="21"/>
        <v>0.89999999999999991</v>
      </c>
      <c r="AV24" s="642">
        <f t="shared" si="12"/>
        <v>658239.84</v>
      </c>
      <c r="AW24" s="648">
        <f t="shared" si="13"/>
        <v>73137.760000000009</v>
      </c>
      <c r="AX24" s="615">
        <f t="shared" si="14"/>
        <v>11822.400000000001</v>
      </c>
      <c r="AY24" s="642">
        <f t="shared" si="15"/>
        <v>84960.160000000062</v>
      </c>
    </row>
    <row r="25" spans="1:51" x14ac:dyDescent="0.2">
      <c r="A25" s="984"/>
      <c r="B25" s="633">
        <v>17</v>
      </c>
      <c r="C25" s="634"/>
      <c r="E25" s="650"/>
      <c r="F25" s="634"/>
      <c r="G25" s="598"/>
      <c r="H25" s="598"/>
      <c r="I25" s="634"/>
      <c r="J25" s="598"/>
      <c r="K25" s="598"/>
      <c r="L25" s="634">
        <f>IF(A6&lt;=$F$3,C25+F25-I25,0)</f>
        <v>0</v>
      </c>
      <c r="M25" s="598">
        <f>IF(A6&lt;=$F$3,D25+G25-J25,0)</f>
        <v>0</v>
      </c>
      <c r="N25" s="598">
        <f>IF(A6&lt;=$F$3,E25+H25-K25,0)</f>
        <v>0</v>
      </c>
      <c r="O25" s="635">
        <f>IF(A6&lt;=$F$3,F25*Q25+G25*R25+H25*S25,0)</f>
        <v>0</v>
      </c>
      <c r="P25" s="636">
        <f>IF(A6&lt;=$F$3,I25*Q25+J25*R25+K25*S25,0)</f>
        <v>0</v>
      </c>
      <c r="Q25" s="637">
        <f t="shared" si="0"/>
        <v>52550.000000000044</v>
      </c>
      <c r="R25" s="638">
        <f t="shared" si="1"/>
        <v>81020.160000000062</v>
      </c>
      <c r="S25" s="639">
        <f t="shared" si="2"/>
        <v>84960.160000000062</v>
      </c>
      <c r="T25" s="637">
        <f t="shared" si="22"/>
        <v>0</v>
      </c>
      <c r="U25" s="640" t="e">
        <f>$AH$6*(1-AE$28)*((1+HLOOKUP($A$6,FC_Premissas!$D$5:$W$16,14,FALSE)^0.0833-1))*L25*12</f>
        <v>#REF!</v>
      </c>
      <c r="V25" s="638">
        <f t="shared" si="23"/>
        <v>0</v>
      </c>
      <c r="W25" s="640" t="e">
        <f>$AP$6*(1-AM$28)*((1+HLOOKUP($A$6,FC_Premissas!$D$5:$W$16,14,FALSE))^0.0833-1)*M25*12</f>
        <v>#REF!</v>
      </c>
      <c r="X25" s="637">
        <f t="shared" si="24"/>
        <v>0</v>
      </c>
      <c r="Y25" s="640" t="e">
        <f>$AX$6*(1-AU$28)*((1+HLOOKUP($A$6,FC_Premissas!$D$5:$W$16,14,FALSE))^0.0833-1)*N25*12</f>
        <v>#REF!</v>
      </c>
      <c r="Z25" s="638">
        <f t="shared" si="3"/>
        <v>0</v>
      </c>
      <c r="AA25" s="640" t="e">
        <f t="shared" si="3"/>
        <v>#REF!</v>
      </c>
      <c r="AB25" s="641"/>
      <c r="AC25" s="629">
        <f t="shared" si="16"/>
        <v>14</v>
      </c>
      <c r="AE25" s="647">
        <f t="shared" si="17"/>
        <v>0.89999999999999991</v>
      </c>
      <c r="AF25" s="642">
        <f t="shared" si="4"/>
        <v>472949.99999999994</v>
      </c>
      <c r="AG25" s="648">
        <f t="shared" si="5"/>
        <v>52550.000000000058</v>
      </c>
      <c r="AH25" s="615">
        <f t="shared" si="6"/>
        <v>0</v>
      </c>
      <c r="AI25" s="642">
        <f t="shared" si="7"/>
        <v>52550.000000000044</v>
      </c>
      <c r="AJ25" s="615"/>
      <c r="AK25" s="629">
        <f t="shared" si="18"/>
        <v>14</v>
      </c>
      <c r="AM25" s="647">
        <f t="shared" si="19"/>
        <v>0.89999999999999991</v>
      </c>
      <c r="AN25" s="642">
        <f t="shared" si="8"/>
        <v>622779.84</v>
      </c>
      <c r="AO25" s="648">
        <f t="shared" si="9"/>
        <v>69197.760000000009</v>
      </c>
      <c r="AP25" s="615">
        <f t="shared" si="10"/>
        <v>11822.400000000001</v>
      </c>
      <c r="AQ25" s="642">
        <f t="shared" si="11"/>
        <v>81020.160000000062</v>
      </c>
      <c r="AR25" s="615"/>
      <c r="AS25" s="629">
        <f t="shared" si="20"/>
        <v>14</v>
      </c>
      <c r="AT25" s="649"/>
      <c r="AU25" s="647">
        <f t="shared" si="21"/>
        <v>0.89999999999999991</v>
      </c>
      <c r="AV25" s="642">
        <f t="shared" si="12"/>
        <v>658239.84</v>
      </c>
      <c r="AW25" s="648">
        <f t="shared" si="13"/>
        <v>73137.760000000009</v>
      </c>
      <c r="AX25" s="615">
        <f t="shared" si="14"/>
        <v>11822.400000000001</v>
      </c>
      <c r="AY25" s="642">
        <f t="shared" si="15"/>
        <v>84960.160000000062</v>
      </c>
    </row>
    <row r="26" spans="1:51" x14ac:dyDescent="0.2">
      <c r="A26" s="984"/>
      <c r="B26" s="633">
        <v>18</v>
      </c>
      <c r="C26" s="634"/>
      <c r="E26" s="650"/>
      <c r="F26" s="634"/>
      <c r="G26" s="598"/>
      <c r="H26" s="598"/>
      <c r="I26" s="634"/>
      <c r="J26" s="598"/>
      <c r="K26" s="598"/>
      <c r="L26" s="634">
        <f>IF(A6&lt;=$F$3,C26+F26-I26,0)</f>
        <v>0</v>
      </c>
      <c r="M26" s="598">
        <f>IF(A6&lt;=$F$3,D26+G26-J26,0)</f>
        <v>0</v>
      </c>
      <c r="N26" s="598">
        <f>IF(A6&lt;=$F$3,E26+H26-K26,0)</f>
        <v>0</v>
      </c>
      <c r="O26" s="635">
        <f>IF(A6&lt;=$F$3,F26*Q26+G26*R26+H26*S26,0)</f>
        <v>0</v>
      </c>
      <c r="P26" s="636">
        <f>IF(A6&lt;=$F$3,I26*Q26+J26*R26+K26*S26,0)</f>
        <v>0</v>
      </c>
      <c r="Q26" s="637">
        <f t="shared" si="0"/>
        <v>52550.000000000044</v>
      </c>
      <c r="R26" s="638">
        <f t="shared" si="1"/>
        <v>81020.160000000062</v>
      </c>
      <c r="S26" s="639">
        <f t="shared" si="2"/>
        <v>84960.160000000062</v>
      </c>
      <c r="T26" s="637">
        <f t="shared" si="22"/>
        <v>0</v>
      </c>
      <c r="U26" s="640" t="e">
        <f>$AH$6*(1-AE$29)*((1+HLOOKUP($A$6,FC_Premissas!$D$5:$W$16,14,FALSE)^0.0833-1))*L26*12</f>
        <v>#REF!</v>
      </c>
      <c r="V26" s="638">
        <f t="shared" si="23"/>
        <v>0</v>
      </c>
      <c r="W26" s="640" t="e">
        <f>$AP$6*(1-AM$29)*((1+HLOOKUP($A$6,FC_Premissas!$D$5:$W$16,14,FALSE))^0.0833-1)*M26*12</f>
        <v>#REF!</v>
      </c>
      <c r="X26" s="637">
        <f t="shared" si="24"/>
        <v>0</v>
      </c>
      <c r="Y26" s="640" t="e">
        <f>$AX$6*(1-AU$29)*((1+HLOOKUP($A$6,FC_Premissas!$D$5:$W$16,14,FALSE))^0.0833-1)*N26*12</f>
        <v>#REF!</v>
      </c>
      <c r="Z26" s="638">
        <f t="shared" si="3"/>
        <v>0</v>
      </c>
      <c r="AA26" s="640" t="e">
        <f t="shared" si="3"/>
        <v>#REF!</v>
      </c>
      <c r="AB26" s="641"/>
      <c r="AC26" s="629">
        <f t="shared" si="16"/>
        <v>15</v>
      </c>
      <c r="AE26" s="647">
        <f t="shared" si="17"/>
        <v>0.89999999999999991</v>
      </c>
      <c r="AF26" s="642">
        <f t="shared" si="4"/>
        <v>472949.99999999994</v>
      </c>
      <c r="AG26" s="648">
        <f t="shared" si="5"/>
        <v>52550.000000000058</v>
      </c>
      <c r="AH26" s="615">
        <f t="shared" si="6"/>
        <v>0</v>
      </c>
      <c r="AI26" s="642">
        <f t="shared" si="7"/>
        <v>52550.000000000044</v>
      </c>
      <c r="AJ26" s="615"/>
      <c r="AK26" s="629">
        <f t="shared" si="18"/>
        <v>15</v>
      </c>
      <c r="AM26" s="647">
        <f t="shared" si="19"/>
        <v>0.89999999999999991</v>
      </c>
      <c r="AN26" s="642">
        <f t="shared" si="8"/>
        <v>622779.84</v>
      </c>
      <c r="AO26" s="648">
        <f t="shared" si="9"/>
        <v>69197.760000000009</v>
      </c>
      <c r="AP26" s="615">
        <f t="shared" si="10"/>
        <v>11822.400000000001</v>
      </c>
      <c r="AQ26" s="642">
        <f t="shared" si="11"/>
        <v>81020.160000000062</v>
      </c>
      <c r="AR26" s="615"/>
      <c r="AS26" s="629">
        <f t="shared" si="20"/>
        <v>15</v>
      </c>
      <c r="AT26" s="649"/>
      <c r="AU26" s="647">
        <f t="shared" si="21"/>
        <v>0.89999999999999991</v>
      </c>
      <c r="AV26" s="642">
        <f t="shared" si="12"/>
        <v>658239.84</v>
      </c>
      <c r="AW26" s="648">
        <f t="shared" si="13"/>
        <v>73137.760000000009</v>
      </c>
      <c r="AX26" s="615">
        <f t="shared" si="14"/>
        <v>11822.400000000001</v>
      </c>
      <c r="AY26" s="642">
        <f t="shared" si="15"/>
        <v>84960.160000000062</v>
      </c>
    </row>
    <row r="27" spans="1:51" x14ac:dyDescent="0.2">
      <c r="A27" s="984"/>
      <c r="B27" s="633">
        <v>19</v>
      </c>
      <c r="C27" s="634"/>
      <c r="E27" s="650"/>
      <c r="F27" s="634"/>
      <c r="G27" s="598"/>
      <c r="H27" s="598"/>
      <c r="I27" s="634"/>
      <c r="J27" s="598"/>
      <c r="K27" s="598"/>
      <c r="L27" s="634">
        <f>IF(A6&lt;=$F$3,C27+F27-I27,0)</f>
        <v>0</v>
      </c>
      <c r="M27" s="598">
        <f>IF(A6&lt;=$F$3,D27+G27-J27,0)</f>
        <v>0</v>
      </c>
      <c r="N27" s="598">
        <f>IF(A6&lt;=$F$3,E27+H27-K27,0)</f>
        <v>0</v>
      </c>
      <c r="O27" s="635">
        <f>IF(A6&lt;=$F$3,F27*Q27+G27*R27+H27*S27,0)</f>
        <v>0</v>
      </c>
      <c r="P27" s="636">
        <f>IF(A6&lt;=$F$3,I27*Q27+J27*R27+K27*S27,0)</f>
        <v>0</v>
      </c>
      <c r="Q27" s="637">
        <f t="shared" si="0"/>
        <v>52550.000000000044</v>
      </c>
      <c r="R27" s="638">
        <f t="shared" si="1"/>
        <v>81020.160000000062</v>
      </c>
      <c r="S27" s="639">
        <f t="shared" si="2"/>
        <v>84960.160000000062</v>
      </c>
      <c r="T27" s="637">
        <f t="shared" si="22"/>
        <v>0</v>
      </c>
      <c r="U27" s="640" t="e">
        <f>$AH$6*(1-AE$30)*((1+HLOOKUP($A$6,FC_Premissas!$D$5:$W$16,14,FALSE)^0.0833-1))*L27*12</f>
        <v>#REF!</v>
      </c>
      <c r="V27" s="638">
        <f t="shared" si="23"/>
        <v>0</v>
      </c>
      <c r="W27" s="640" t="e">
        <f>$AP$6*(1-AM$30)*((1+HLOOKUP($A$6,FC_Premissas!$D$5:$W$16,14,FALSE))^0.0833-1)*M27*12</f>
        <v>#REF!</v>
      </c>
      <c r="X27" s="637">
        <f t="shared" si="24"/>
        <v>0</v>
      </c>
      <c r="Y27" s="640" t="e">
        <f>$AX$6*(1-AU$30)*((1+HLOOKUP($A$6,FC_Premissas!$D$5:$W$16,14,FALSE))^0.0833-1)*N27*12</f>
        <v>#REF!</v>
      </c>
      <c r="Z27" s="638">
        <f t="shared" si="3"/>
        <v>0</v>
      </c>
      <c r="AA27" s="640" t="e">
        <f t="shared" si="3"/>
        <v>#REF!</v>
      </c>
      <c r="AB27" s="641"/>
      <c r="AC27" s="629">
        <f t="shared" si="16"/>
        <v>16</v>
      </c>
      <c r="AE27" s="647">
        <f t="shared" si="17"/>
        <v>0.89999999999999991</v>
      </c>
      <c r="AF27" s="642">
        <f t="shared" si="4"/>
        <v>472949.99999999994</v>
      </c>
      <c r="AG27" s="648">
        <f t="shared" si="5"/>
        <v>52550.000000000058</v>
      </c>
      <c r="AH27" s="615">
        <f t="shared" si="6"/>
        <v>0</v>
      </c>
      <c r="AI27" s="642">
        <f t="shared" si="7"/>
        <v>52550.000000000044</v>
      </c>
      <c r="AJ27" s="615"/>
      <c r="AK27" s="629">
        <f t="shared" si="18"/>
        <v>16</v>
      </c>
      <c r="AM27" s="647">
        <f t="shared" si="19"/>
        <v>0.89999999999999991</v>
      </c>
      <c r="AN27" s="642">
        <f t="shared" si="8"/>
        <v>622779.84</v>
      </c>
      <c r="AO27" s="648">
        <f t="shared" si="9"/>
        <v>69197.760000000009</v>
      </c>
      <c r="AP27" s="615">
        <f t="shared" si="10"/>
        <v>11822.400000000001</v>
      </c>
      <c r="AQ27" s="642">
        <f t="shared" si="11"/>
        <v>81020.160000000062</v>
      </c>
      <c r="AR27" s="615"/>
      <c r="AS27" s="629">
        <f t="shared" si="20"/>
        <v>16</v>
      </c>
      <c r="AT27" s="649"/>
      <c r="AU27" s="647">
        <f t="shared" si="21"/>
        <v>0.89999999999999991</v>
      </c>
      <c r="AV27" s="642">
        <f t="shared" si="12"/>
        <v>658239.84</v>
      </c>
      <c r="AW27" s="648">
        <f t="shared" si="13"/>
        <v>73137.760000000009</v>
      </c>
      <c r="AX27" s="615">
        <f t="shared" si="14"/>
        <v>11822.400000000001</v>
      </c>
      <c r="AY27" s="642">
        <f t="shared" si="15"/>
        <v>84960.160000000062</v>
      </c>
    </row>
    <row r="28" spans="1:51" x14ac:dyDescent="0.2">
      <c r="A28" s="984"/>
      <c r="B28" s="633">
        <v>20</v>
      </c>
      <c r="C28" s="616"/>
      <c r="D28" s="617"/>
      <c r="E28" s="650"/>
      <c r="F28" s="616"/>
      <c r="G28" s="617"/>
      <c r="H28" s="598"/>
      <c r="I28" s="616"/>
      <c r="J28" s="617"/>
      <c r="K28" s="598"/>
      <c r="L28" s="616">
        <f>IF(A6&lt;=$F$3,C28+F28-I28,0)</f>
        <v>0</v>
      </c>
      <c r="M28" s="617">
        <f>IF(A6&lt;=$F$3,D28+G28-J28,0)</f>
        <v>0</v>
      </c>
      <c r="N28" s="598">
        <f>IF(A6&lt;=$F$3,E28+H28-K28,0)</f>
        <v>0</v>
      </c>
      <c r="O28" s="635">
        <f>IF(A6&lt;=$F$3,F28*Q28+G28*R28+H28*S28,0)</f>
        <v>0</v>
      </c>
      <c r="P28" s="636">
        <f>IF(A6&lt;=$F$3,I28*Q28+J28*R28+K28*S28,0)</f>
        <v>0</v>
      </c>
      <c r="Q28" s="651">
        <f t="shared" si="0"/>
        <v>52550.000000000044</v>
      </c>
      <c r="R28" s="652">
        <f t="shared" si="1"/>
        <v>81020.160000000062</v>
      </c>
      <c r="S28" s="653">
        <f t="shared" si="2"/>
        <v>84960.160000000062</v>
      </c>
      <c r="T28" s="651">
        <f t="shared" si="22"/>
        <v>0</v>
      </c>
      <c r="U28" s="654" t="e">
        <f>$AH$6*(1-AE$31)*((1+HLOOKUP($A$6,FC_Premissas!$D$5:$W$16,14,FALSE)^0.0833-1))*L28*12</f>
        <v>#REF!</v>
      </c>
      <c r="V28" s="652">
        <f t="shared" si="23"/>
        <v>0</v>
      </c>
      <c r="W28" s="640" t="e">
        <f>$AP$6*(1-AM$31)*((1+HLOOKUP($A$6,FC_Premissas!$D$5:$W$16,14,FALSE))^0.0833-1)*M28*12</f>
        <v>#REF!</v>
      </c>
      <c r="X28" s="651">
        <f t="shared" si="24"/>
        <v>0</v>
      </c>
      <c r="Y28" s="654" t="e">
        <f>$AX$6*(1-AU$31)*((1+HLOOKUP($A$6,FC_Premissas!$D$5:$W$16,14,FALSE))^0.0833-1)*N28*12</f>
        <v>#REF!</v>
      </c>
      <c r="Z28" s="652">
        <f t="shared" si="3"/>
        <v>0</v>
      </c>
      <c r="AA28" s="654" t="e">
        <f t="shared" si="3"/>
        <v>#REF!</v>
      </c>
      <c r="AB28" s="641"/>
      <c r="AC28" s="629">
        <f t="shared" si="16"/>
        <v>17</v>
      </c>
      <c r="AE28" s="647">
        <f t="shared" si="17"/>
        <v>0.89999999999999991</v>
      </c>
      <c r="AF28" s="642">
        <f t="shared" si="4"/>
        <v>472949.99999999994</v>
      </c>
      <c r="AG28" s="648">
        <f t="shared" si="5"/>
        <v>52550.000000000058</v>
      </c>
      <c r="AH28" s="615">
        <f t="shared" si="6"/>
        <v>0</v>
      </c>
      <c r="AI28" s="642">
        <f t="shared" si="7"/>
        <v>52550.000000000044</v>
      </c>
      <c r="AK28" s="629">
        <f t="shared" si="18"/>
        <v>17</v>
      </c>
      <c r="AM28" s="647">
        <f t="shared" si="19"/>
        <v>0.89999999999999991</v>
      </c>
      <c r="AN28" s="642">
        <f t="shared" si="8"/>
        <v>622779.84</v>
      </c>
      <c r="AO28" s="648">
        <f t="shared" si="9"/>
        <v>69197.760000000009</v>
      </c>
      <c r="AP28" s="615">
        <f t="shared" si="10"/>
        <v>11822.400000000001</v>
      </c>
      <c r="AQ28" s="642">
        <f t="shared" si="11"/>
        <v>81020.160000000062</v>
      </c>
      <c r="AS28" s="629">
        <f t="shared" si="20"/>
        <v>17</v>
      </c>
      <c r="AT28" s="649"/>
      <c r="AU28" s="647">
        <f t="shared" si="21"/>
        <v>0.89999999999999991</v>
      </c>
      <c r="AV28" s="642">
        <f t="shared" si="12"/>
        <v>658239.84</v>
      </c>
      <c r="AW28" s="648">
        <f t="shared" si="13"/>
        <v>73137.760000000009</v>
      </c>
      <c r="AX28" s="615">
        <f t="shared" si="14"/>
        <v>11822.400000000001</v>
      </c>
      <c r="AY28" s="642">
        <f t="shared" si="15"/>
        <v>84960.160000000062</v>
      </c>
    </row>
    <row r="29" spans="1:51" x14ac:dyDescent="0.2">
      <c r="A29" s="984"/>
      <c r="B29" s="655" t="s">
        <v>1228</v>
      </c>
      <c r="C29" s="656">
        <f t="shared" ref="C29:P29" si="25">SUM(C8:C28)</f>
        <v>0</v>
      </c>
      <c r="D29" s="657">
        <f t="shared" si="25"/>
        <v>0</v>
      </c>
      <c r="E29" s="658">
        <f t="shared" si="25"/>
        <v>0</v>
      </c>
      <c r="F29" s="656">
        <f t="shared" si="25"/>
        <v>0</v>
      </c>
      <c r="G29" s="657">
        <f t="shared" si="25"/>
        <v>0</v>
      </c>
      <c r="H29" s="658">
        <f t="shared" si="25"/>
        <v>11</v>
      </c>
      <c r="I29" s="656">
        <f t="shared" si="25"/>
        <v>0</v>
      </c>
      <c r="J29" s="657">
        <f t="shared" si="25"/>
        <v>0</v>
      </c>
      <c r="K29" s="658">
        <f t="shared" si="25"/>
        <v>0</v>
      </c>
      <c r="L29" s="656">
        <f t="shared" si="25"/>
        <v>0</v>
      </c>
      <c r="M29" s="657">
        <f t="shared" si="25"/>
        <v>0</v>
      </c>
      <c r="N29" s="657">
        <f>SUM(N8:N28)</f>
        <v>11</v>
      </c>
      <c r="O29" s="659">
        <f t="shared" si="25"/>
        <v>1915937.5214545459</v>
      </c>
      <c r="P29" s="660">
        <f t="shared" si="25"/>
        <v>0</v>
      </c>
      <c r="Q29" s="638"/>
      <c r="R29" s="638"/>
      <c r="S29" s="638"/>
      <c r="T29" s="661">
        <f t="shared" ref="T29:AA29" si="26">SUM(T8:T28)</f>
        <v>0</v>
      </c>
      <c r="U29" s="662" t="e">
        <f t="shared" si="26"/>
        <v>#REF!</v>
      </c>
      <c r="V29" s="663">
        <f t="shared" si="26"/>
        <v>0</v>
      </c>
      <c r="W29" s="662" t="e">
        <f t="shared" si="26"/>
        <v>#REF!</v>
      </c>
      <c r="X29" s="663">
        <f t="shared" si="26"/>
        <v>394943.90399999998</v>
      </c>
      <c r="Y29" s="662" t="e">
        <f t="shared" si="26"/>
        <v>#REF!</v>
      </c>
      <c r="Z29" s="663">
        <f t="shared" si="26"/>
        <v>394943.90399999998</v>
      </c>
      <c r="AA29" s="664" t="e">
        <f t="shared" si="26"/>
        <v>#REF!</v>
      </c>
      <c r="AB29" s="641"/>
      <c r="AC29" s="629">
        <f t="shared" si="16"/>
        <v>18</v>
      </c>
      <c r="AE29" s="647">
        <f t="shared" si="17"/>
        <v>0.89999999999999991</v>
      </c>
      <c r="AF29" s="642">
        <f t="shared" si="4"/>
        <v>472949.99999999994</v>
      </c>
      <c r="AG29" s="648">
        <f t="shared" si="5"/>
        <v>52550.000000000058</v>
      </c>
      <c r="AH29" s="615">
        <f t="shared" si="6"/>
        <v>0</v>
      </c>
      <c r="AI29" s="642">
        <f t="shared" si="7"/>
        <v>52550.000000000044</v>
      </c>
      <c r="AJ29" s="602"/>
      <c r="AK29" s="629">
        <f t="shared" si="18"/>
        <v>18</v>
      </c>
      <c r="AM29" s="647">
        <f t="shared" si="19"/>
        <v>0.89999999999999991</v>
      </c>
      <c r="AN29" s="642">
        <f t="shared" si="8"/>
        <v>622779.84</v>
      </c>
      <c r="AO29" s="648">
        <f t="shared" si="9"/>
        <v>69197.760000000009</v>
      </c>
      <c r="AP29" s="615">
        <f t="shared" si="10"/>
        <v>11822.400000000001</v>
      </c>
      <c r="AQ29" s="642">
        <f t="shared" si="11"/>
        <v>81020.160000000062</v>
      </c>
      <c r="AR29" s="602"/>
      <c r="AS29" s="629">
        <f t="shared" si="20"/>
        <v>18</v>
      </c>
      <c r="AT29" s="649"/>
      <c r="AU29" s="647">
        <f t="shared" si="21"/>
        <v>0.89999999999999991</v>
      </c>
      <c r="AV29" s="642">
        <f t="shared" si="12"/>
        <v>658239.84</v>
      </c>
      <c r="AW29" s="648">
        <f t="shared" si="13"/>
        <v>73137.760000000009</v>
      </c>
      <c r="AX29" s="615">
        <f t="shared" si="14"/>
        <v>11822.400000000001</v>
      </c>
      <c r="AY29" s="642">
        <f t="shared" si="15"/>
        <v>84960.160000000062</v>
      </c>
    </row>
    <row r="30" spans="1:51" x14ac:dyDescent="0.2">
      <c r="A30" s="985"/>
      <c r="B30" s="977" t="s">
        <v>1229</v>
      </c>
      <c r="C30" s="977"/>
      <c r="D30" s="977"/>
      <c r="E30" s="666">
        <f>(L30*L29+M30*M29+N30*N29)/(L29+M29+N29)</f>
        <v>7</v>
      </c>
      <c r="F30" s="665" t="s">
        <v>140</v>
      </c>
      <c r="G30" s="665"/>
      <c r="H30" s="665"/>
      <c r="I30" s="665"/>
      <c r="J30" s="665"/>
      <c r="K30" s="665"/>
      <c r="L30" s="887">
        <f>IF(L29=0,0,(SUMPRODUCT(L8:L28,$B8:$B28)/L29))</f>
        <v>0</v>
      </c>
      <c r="M30" s="887">
        <f>IF(M29=0,0,(SUMPRODUCT(M8:M28,$B8:$B28)/M29))</f>
        <v>0</v>
      </c>
      <c r="N30" s="887">
        <f>IF(N29=0,0,ROUND(SUMPRODUCT(N8:N28,$B8:$B28)/N29,0))</f>
        <v>7</v>
      </c>
      <c r="O30" s="667"/>
      <c r="P30" s="668"/>
      <c r="Q30" s="638"/>
      <c r="R30" s="638"/>
      <c r="S30" s="638"/>
      <c r="T30" s="638"/>
      <c r="U30" s="669"/>
      <c r="V30" s="638"/>
      <c r="W30" s="669"/>
      <c r="X30" s="638"/>
      <c r="Y30" s="669"/>
      <c r="Z30" s="638"/>
      <c r="AA30" s="669"/>
      <c r="AC30" s="629">
        <f t="shared" si="16"/>
        <v>19</v>
      </c>
      <c r="AE30" s="647">
        <f t="shared" si="17"/>
        <v>0.89999999999999991</v>
      </c>
      <c r="AF30" s="642">
        <f t="shared" si="4"/>
        <v>472949.99999999994</v>
      </c>
      <c r="AG30" s="648">
        <f t="shared" si="5"/>
        <v>52550.000000000058</v>
      </c>
      <c r="AH30" s="615">
        <f t="shared" si="6"/>
        <v>0</v>
      </c>
      <c r="AI30" s="642">
        <f t="shared" si="7"/>
        <v>52550.000000000044</v>
      </c>
      <c r="AJ30" s="602"/>
      <c r="AK30" s="629">
        <f t="shared" si="18"/>
        <v>19</v>
      </c>
      <c r="AM30" s="647">
        <f t="shared" si="19"/>
        <v>0.89999999999999991</v>
      </c>
      <c r="AN30" s="642">
        <f t="shared" si="8"/>
        <v>622779.84</v>
      </c>
      <c r="AO30" s="648">
        <f t="shared" si="9"/>
        <v>69197.760000000009</v>
      </c>
      <c r="AP30" s="615">
        <f t="shared" si="10"/>
        <v>11822.400000000001</v>
      </c>
      <c r="AQ30" s="642">
        <f t="shared" si="11"/>
        <v>81020.160000000062</v>
      </c>
      <c r="AR30" s="602"/>
      <c r="AS30" s="629">
        <f t="shared" si="20"/>
        <v>19</v>
      </c>
      <c r="AT30" s="649"/>
      <c r="AU30" s="647">
        <f t="shared" si="21"/>
        <v>0.89999999999999991</v>
      </c>
      <c r="AV30" s="642">
        <f t="shared" si="12"/>
        <v>658239.84</v>
      </c>
      <c r="AW30" s="648">
        <f t="shared" si="13"/>
        <v>73137.760000000009</v>
      </c>
      <c r="AX30" s="615">
        <f t="shared" si="14"/>
        <v>11822.400000000001</v>
      </c>
      <c r="AY30" s="642">
        <f t="shared" si="15"/>
        <v>84960.160000000062</v>
      </c>
    </row>
    <row r="31" spans="1:51" ht="11.25" customHeight="1" x14ac:dyDescent="0.2">
      <c r="A31" s="983">
        <f>A6+1</f>
        <v>2</v>
      </c>
      <c r="B31" s="986" t="s">
        <v>1077</v>
      </c>
      <c r="C31" s="988" t="s">
        <v>1202</v>
      </c>
      <c r="D31" s="989"/>
      <c r="E31" s="990"/>
      <c r="F31" s="991" t="s">
        <v>1203</v>
      </c>
      <c r="G31" s="992"/>
      <c r="H31" s="993"/>
      <c r="I31" s="991" t="s">
        <v>1204</v>
      </c>
      <c r="J31" s="992"/>
      <c r="K31" s="993"/>
      <c r="L31" s="991" t="s">
        <v>1205</v>
      </c>
      <c r="M31" s="992"/>
      <c r="N31" s="992"/>
      <c r="O31" s="978" t="s">
        <v>1206</v>
      </c>
      <c r="P31" s="979"/>
      <c r="Q31" s="980" t="s">
        <v>1207</v>
      </c>
      <c r="R31" s="981"/>
      <c r="S31" s="982"/>
      <c r="T31" s="607" t="s">
        <v>1208</v>
      </c>
      <c r="U31" s="609" t="s">
        <v>1209</v>
      </c>
      <c r="V31" s="608" t="s">
        <v>1210</v>
      </c>
      <c r="W31" s="610" t="s">
        <v>1211</v>
      </c>
      <c r="X31" s="607" t="s">
        <v>1210</v>
      </c>
      <c r="Y31" s="609" t="s">
        <v>1211</v>
      </c>
      <c r="Z31" s="607" t="s">
        <v>1210</v>
      </c>
      <c r="AA31" s="609" t="s">
        <v>1211</v>
      </c>
      <c r="AC31" s="629">
        <f t="shared" si="16"/>
        <v>20</v>
      </c>
      <c r="AE31" s="647">
        <f t="shared" si="17"/>
        <v>0.89999999999999991</v>
      </c>
      <c r="AF31" s="642">
        <f t="shared" si="4"/>
        <v>472949.99999999994</v>
      </c>
      <c r="AG31" s="648">
        <f t="shared" si="5"/>
        <v>52550.000000000058</v>
      </c>
      <c r="AH31" s="615">
        <f t="shared" si="6"/>
        <v>0</v>
      </c>
      <c r="AI31" s="642">
        <f t="shared" si="7"/>
        <v>52550.000000000044</v>
      </c>
      <c r="AJ31" s="602"/>
      <c r="AK31" s="629">
        <f t="shared" si="18"/>
        <v>20</v>
      </c>
      <c r="AM31" s="647">
        <f t="shared" si="19"/>
        <v>0.89999999999999991</v>
      </c>
      <c r="AN31" s="642">
        <f t="shared" si="8"/>
        <v>622779.84</v>
      </c>
      <c r="AO31" s="648">
        <f t="shared" si="9"/>
        <v>69197.760000000009</v>
      </c>
      <c r="AP31" s="615">
        <f t="shared" si="10"/>
        <v>11822.400000000001</v>
      </c>
      <c r="AQ31" s="642">
        <f t="shared" si="11"/>
        <v>81020.160000000062</v>
      </c>
      <c r="AR31" s="602"/>
      <c r="AS31" s="629">
        <f t="shared" si="20"/>
        <v>20</v>
      </c>
      <c r="AT31" s="649"/>
      <c r="AU31" s="647">
        <f t="shared" si="21"/>
        <v>0.89999999999999991</v>
      </c>
      <c r="AV31" s="642">
        <f t="shared" si="12"/>
        <v>658239.84</v>
      </c>
      <c r="AW31" s="648">
        <f t="shared" si="13"/>
        <v>73137.760000000009</v>
      </c>
      <c r="AX31" s="615">
        <f t="shared" si="14"/>
        <v>11822.400000000001</v>
      </c>
      <c r="AY31" s="642">
        <f t="shared" si="15"/>
        <v>84960.160000000062</v>
      </c>
    </row>
    <row r="32" spans="1:51" x14ac:dyDescent="0.2">
      <c r="A32" s="984"/>
      <c r="B32" s="987"/>
      <c r="C32" s="616" t="str">
        <f>$C$7</f>
        <v>Mini</v>
      </c>
      <c r="D32" s="617" t="str">
        <f>$D$7</f>
        <v>Midi</v>
      </c>
      <c r="E32" s="617" t="str">
        <f>$E$7</f>
        <v>Básico</v>
      </c>
      <c r="F32" s="616" t="str">
        <f>$C$7</f>
        <v>Mini</v>
      </c>
      <c r="G32" s="617" t="str">
        <f>$D$7</f>
        <v>Midi</v>
      </c>
      <c r="H32" s="617" t="str">
        <f>$E$7</f>
        <v>Básico</v>
      </c>
      <c r="I32" s="616" t="str">
        <f>$C$7</f>
        <v>Mini</v>
      </c>
      <c r="J32" s="617" t="str">
        <f>$D$7</f>
        <v>Midi</v>
      </c>
      <c r="K32" s="617" t="str">
        <f>$E$7</f>
        <v>Básico</v>
      </c>
      <c r="L32" s="616" t="str">
        <f>$C$7</f>
        <v>Mini</v>
      </c>
      <c r="M32" s="617" t="str">
        <f>$D$7</f>
        <v>Midi</v>
      </c>
      <c r="N32" s="617" t="str">
        <f>$E$7</f>
        <v>Básico</v>
      </c>
      <c r="O32" s="667" t="s">
        <v>1203</v>
      </c>
      <c r="P32" s="668" t="s">
        <v>1204</v>
      </c>
      <c r="Q32" s="620" t="str">
        <f>C32</f>
        <v>Mini</v>
      </c>
      <c r="R32" s="621" t="str">
        <f>D32</f>
        <v>Midi</v>
      </c>
      <c r="S32" s="622" t="str">
        <f>E32</f>
        <v>Básico</v>
      </c>
      <c r="T32" s="623" t="str">
        <f>C32</f>
        <v>Mini</v>
      </c>
      <c r="U32" s="624" t="str">
        <f>C32</f>
        <v>Mini</v>
      </c>
      <c r="V32" s="625" t="str">
        <f>D32</f>
        <v>Midi</v>
      </c>
      <c r="W32" s="626" t="str">
        <f>D32</f>
        <v>Midi</v>
      </c>
      <c r="X32" s="623" t="str">
        <f>E32</f>
        <v>Básico</v>
      </c>
      <c r="Y32" s="624" t="str">
        <f>E32</f>
        <v>Básico</v>
      </c>
      <c r="Z32" s="627" t="s">
        <v>1218</v>
      </c>
      <c r="AA32" s="628" t="s">
        <v>1218</v>
      </c>
      <c r="AC32" s="644">
        <f t="shared" si="16"/>
        <v>21</v>
      </c>
      <c r="AD32" s="645"/>
      <c r="AE32" s="670">
        <f t="shared" si="17"/>
        <v>0.89999999999999991</v>
      </c>
      <c r="AF32" s="671">
        <f t="shared" si="4"/>
        <v>472949.99999999994</v>
      </c>
      <c r="AG32" s="672">
        <f t="shared" si="5"/>
        <v>52550.000000000058</v>
      </c>
      <c r="AH32" s="673">
        <f t="shared" si="6"/>
        <v>0</v>
      </c>
      <c r="AI32" s="671">
        <f t="shared" si="7"/>
        <v>52550.000000000044</v>
      </c>
      <c r="AJ32" s="602"/>
      <c r="AK32" s="644">
        <f t="shared" si="18"/>
        <v>21</v>
      </c>
      <c r="AL32" s="645"/>
      <c r="AM32" s="670">
        <f t="shared" si="19"/>
        <v>0.89999999999999991</v>
      </c>
      <c r="AN32" s="671">
        <f t="shared" si="8"/>
        <v>622779.84</v>
      </c>
      <c r="AO32" s="672">
        <f t="shared" si="9"/>
        <v>69197.760000000009</v>
      </c>
      <c r="AP32" s="673">
        <f t="shared" si="10"/>
        <v>11822.400000000001</v>
      </c>
      <c r="AQ32" s="671">
        <f t="shared" si="11"/>
        <v>81020.160000000062</v>
      </c>
      <c r="AR32" s="602"/>
      <c r="AS32" s="644">
        <f t="shared" si="20"/>
        <v>21</v>
      </c>
      <c r="AT32" s="674"/>
      <c r="AU32" s="670">
        <f t="shared" si="21"/>
        <v>0.89999999999999991</v>
      </c>
      <c r="AV32" s="671">
        <f t="shared" si="12"/>
        <v>658239.84</v>
      </c>
      <c r="AW32" s="672">
        <f t="shared" si="13"/>
        <v>73137.760000000009</v>
      </c>
      <c r="AX32" s="673">
        <f t="shared" si="14"/>
        <v>11822.400000000001</v>
      </c>
      <c r="AY32" s="671">
        <f t="shared" si="15"/>
        <v>84960.160000000062</v>
      </c>
    </row>
    <row r="33" spans="1:51" x14ac:dyDescent="0.2">
      <c r="A33" s="984"/>
      <c r="B33" s="633">
        <v>0</v>
      </c>
      <c r="C33" s="634">
        <v>0</v>
      </c>
      <c r="F33" s="965"/>
      <c r="G33" s="966"/>
      <c r="H33" s="675"/>
      <c r="I33" s="598"/>
      <c r="J33" s="598"/>
      <c r="K33" s="676"/>
      <c r="L33" s="634">
        <f>IF(A31&lt;=$F$3,C33+F33-I33,0)</f>
        <v>0</v>
      </c>
      <c r="M33" s="598">
        <f>IF(A31&lt;=$F$3,D33+G33-J33,0)</f>
        <v>0</v>
      </c>
      <c r="N33" s="598">
        <f>IF(A31&lt;=$F$3,E33+H33-K33,0)</f>
        <v>0</v>
      </c>
      <c r="O33" s="635">
        <f>IF(A31&lt;=$F$3,F33*Q33+G33*R33+H33*S33,0)</f>
        <v>0</v>
      </c>
      <c r="P33" s="636">
        <f>IF(A31&lt;=$F$3,I33*Q33+J33*R33+K33*S33,0)</f>
        <v>0</v>
      </c>
      <c r="Q33" s="637">
        <f t="shared" ref="Q33:S48" si="27">Q8</f>
        <v>525500</v>
      </c>
      <c r="R33" s="638">
        <f t="shared" si="27"/>
        <v>703800</v>
      </c>
      <c r="S33" s="639">
        <f t="shared" si="27"/>
        <v>743200</v>
      </c>
      <c r="T33" s="637">
        <f>L33*$AH$6*AD$12</f>
        <v>0</v>
      </c>
      <c r="U33" s="640" t="e">
        <f>$AH$6*(1-AE$11)*((1+HLOOKUP($A$31,FC_Premissas!$D$5:$W$16,14,FALSE)^0.0833-1))*L33*12</f>
        <v>#REF!</v>
      </c>
      <c r="V33" s="638">
        <f>M33*$AP$6*AL$12</f>
        <v>0</v>
      </c>
      <c r="W33" s="640" t="e">
        <f>$AP$6*(1-AM$11)*((1+HLOOKUP($A$31,FC_Premissas!$D$5:$W$16,14,FALSE)^0.0833-1))*M33*12</f>
        <v>#REF!</v>
      </c>
      <c r="X33" s="637">
        <f>N33*$AX$6*AT$12</f>
        <v>0</v>
      </c>
      <c r="Y33" s="640" t="e">
        <f>$AX$6*(1-AU$11)*((1+HLOOKUP($A$31,FC_Premissas!$D$5:$W$16,14,FALSE)^0.0833-1))*N33*12</f>
        <v>#REF!</v>
      </c>
      <c r="Z33" s="638">
        <f t="shared" ref="Z33:AA53" si="28">T33+V33+X33</f>
        <v>0</v>
      </c>
      <c r="AA33" s="640" t="e">
        <f t="shared" si="28"/>
        <v>#REF!</v>
      </c>
      <c r="AB33" s="641"/>
      <c r="AC33" s="602"/>
      <c r="AD33" s="602"/>
      <c r="AE33" s="602"/>
      <c r="AF33" s="602"/>
      <c r="AG33" s="602"/>
      <c r="AH33" s="602"/>
      <c r="AI33" s="602"/>
      <c r="AJ33" s="602"/>
      <c r="AK33" s="602"/>
      <c r="AL33" s="602"/>
      <c r="AM33" s="602"/>
      <c r="AN33" s="602"/>
      <c r="AO33" s="602"/>
      <c r="AP33" s="602"/>
      <c r="AQ33" s="602"/>
      <c r="AR33" s="602"/>
      <c r="AS33" s="602"/>
      <c r="AT33" s="602"/>
      <c r="AU33" s="602"/>
      <c r="AV33" s="602"/>
      <c r="AW33" s="602"/>
      <c r="AX33" s="602"/>
      <c r="AY33" s="602"/>
    </row>
    <row r="34" spans="1:51" x14ac:dyDescent="0.2">
      <c r="A34" s="984"/>
      <c r="B34" s="633">
        <v>1</v>
      </c>
      <c r="C34" s="634">
        <f>IF(A31&lt;=$F$3,L8,0)</f>
        <v>0</v>
      </c>
      <c r="D34" s="598">
        <f>IF(A31&lt;=$F$3,M8,0)</f>
        <v>0</v>
      </c>
      <c r="E34" s="598">
        <f>IF(A31&lt;=$F$3,N8,0)</f>
        <v>0</v>
      </c>
      <c r="F34" s="634"/>
      <c r="G34" s="598"/>
      <c r="H34" s="677"/>
      <c r="I34" s="598"/>
      <c r="J34" s="598"/>
      <c r="K34" s="676"/>
      <c r="L34" s="634">
        <f>IF(A31&lt;=$F$3,C34+F34-I34,0)</f>
        <v>0</v>
      </c>
      <c r="M34" s="598">
        <f>IF(A31&lt;=$F$3,D34+G34-J34,0)</f>
        <v>0</v>
      </c>
      <c r="N34" s="598">
        <f>IF(A31&lt;=$F$3,E34+H34-K34,0)</f>
        <v>0</v>
      </c>
      <c r="O34" s="635">
        <f>IF(A31&lt;=$F$3,F34*Q34+G34*R34+H34*S34,0)</f>
        <v>0</v>
      </c>
      <c r="P34" s="636">
        <f>IF(A31&lt;=$F$3,I34*Q34+J34*R34+K34*S34,0)</f>
        <v>0</v>
      </c>
      <c r="Q34" s="637">
        <f t="shared" si="27"/>
        <v>439509.09090909094</v>
      </c>
      <c r="R34" s="638">
        <f t="shared" si="27"/>
        <v>590567.30181818188</v>
      </c>
      <c r="S34" s="639">
        <f t="shared" si="27"/>
        <v>623520.02909090917</v>
      </c>
      <c r="T34" s="637">
        <f>L34*$AH$6*AD$13</f>
        <v>0</v>
      </c>
      <c r="U34" s="640" t="e">
        <f>$AH$6*(1-AE$12)*((1+HLOOKUP($A$31,FC_Premissas!$D$5:$W$16,14,FALSE)^0.0833-1))*L34*12</f>
        <v>#REF!</v>
      </c>
      <c r="V34" s="638">
        <f>M34*$AP$6*AL$13</f>
        <v>0</v>
      </c>
      <c r="W34" s="640" t="e">
        <f>$AP$6*(1-AM$12)*((1+HLOOKUP($A$31,FC_Premissas!$D$5:$W$16,14,FALSE))^0.0833-1)*M34*12</f>
        <v>#REF!</v>
      </c>
      <c r="X34" s="637">
        <f>N34*$AX$6*AT$13</f>
        <v>0</v>
      </c>
      <c r="Y34" s="640" t="e">
        <f>$AX$6*(1-AU$12)*((1+HLOOKUP($A$31,FC_Premissas!$D$5:$W$16,14,FALSE))^0.0833-1)*N34*12</f>
        <v>#REF!</v>
      </c>
      <c r="Z34" s="638">
        <f t="shared" si="28"/>
        <v>0</v>
      </c>
      <c r="AA34" s="640" t="e">
        <f t="shared" si="28"/>
        <v>#REF!</v>
      </c>
      <c r="AB34" s="641"/>
    </row>
    <row r="35" spans="1:51" x14ac:dyDescent="0.2">
      <c r="A35" s="984"/>
      <c r="B35" s="633">
        <v>2</v>
      </c>
      <c r="C35" s="634">
        <f>IF(A31&lt;=$F$3,L9,0)</f>
        <v>0</v>
      </c>
      <c r="D35" s="598">
        <f>IF(A31&lt;=$F$3,M9,0)</f>
        <v>0</v>
      </c>
      <c r="E35" s="598">
        <f>IF(A31&lt;=$F$3,N9,0)</f>
        <v>0</v>
      </c>
      <c r="F35" s="634"/>
      <c r="G35" s="598"/>
      <c r="H35" s="677"/>
      <c r="I35" s="598"/>
      <c r="J35" s="598"/>
      <c r="K35" s="676"/>
      <c r="L35" s="634">
        <f>IF(A31&lt;=$F$3,C35+F35-I35,0)</f>
        <v>0</v>
      </c>
      <c r="M35" s="598">
        <f>IF(A31&lt;=$F$3,D35+G35-J35,0)</f>
        <v>0</v>
      </c>
      <c r="N35" s="598">
        <f>IF(A31&lt;=$F$3,E35+H35-K35,0)</f>
        <v>0</v>
      </c>
      <c r="O35" s="635">
        <f>IF(A31&lt;=$F$3,F35*Q35+G35*R35+H35*S35,0)</f>
        <v>0</v>
      </c>
      <c r="P35" s="636">
        <f>IF(A31&lt;=$F$3,I35*Q35+J35*R35+K35*S35,0)</f>
        <v>0</v>
      </c>
      <c r="Q35" s="637">
        <f t="shared" si="27"/>
        <v>362117.27272727271</v>
      </c>
      <c r="R35" s="638">
        <f t="shared" si="27"/>
        <v>488657.87345454545</v>
      </c>
      <c r="S35" s="639">
        <f t="shared" si="27"/>
        <v>515808.05527272727</v>
      </c>
      <c r="T35" s="637">
        <f>L35*$AH$6*AD$14</f>
        <v>0</v>
      </c>
      <c r="U35" s="640" t="e">
        <f>$AH$6*(1-AE$13)*((1+HLOOKUP($A$31,FC_Premissas!$D$5:$W$16,14,FALSE)^0.0833-1))*L35*12</f>
        <v>#REF!</v>
      </c>
      <c r="V35" s="638">
        <f>M35*$AP$6*AL$14</f>
        <v>0</v>
      </c>
      <c r="W35" s="640" t="e">
        <f>$AP$6*(1-AM$13)*((1+HLOOKUP($A$31,FC_Premissas!$D$5:$W$16,14,FALSE))^0.0833-1)*M35*12</f>
        <v>#REF!</v>
      </c>
      <c r="X35" s="637">
        <f>N35*$AX$6*AT$14</f>
        <v>0</v>
      </c>
      <c r="Y35" s="640" t="e">
        <f>$AX$6*(1-AU$13)*((1+HLOOKUP($A$31,FC_Premissas!$D$5:$W$16,14,FALSE))^0.0833-1)*N35*12</f>
        <v>#REF!</v>
      </c>
      <c r="Z35" s="638">
        <f t="shared" si="28"/>
        <v>0</v>
      </c>
      <c r="AA35" s="640" t="e">
        <f t="shared" si="28"/>
        <v>#REF!</v>
      </c>
      <c r="AB35" s="641"/>
    </row>
    <row r="36" spans="1:51" x14ac:dyDescent="0.2">
      <c r="A36" s="984"/>
      <c r="B36" s="633">
        <v>3</v>
      </c>
      <c r="C36" s="634">
        <f>IF(A31&lt;=$F$3,L10,0)</f>
        <v>0</v>
      </c>
      <c r="D36" s="598">
        <f>IF(A31&lt;=$F$3,M10,0)</f>
        <v>0</v>
      </c>
      <c r="E36" s="598">
        <f>IF(A31&lt;=$F$3,N10,0)</f>
        <v>0</v>
      </c>
      <c r="F36" s="634"/>
      <c r="G36" s="598"/>
      <c r="H36" s="677"/>
      <c r="I36" s="598"/>
      <c r="J36" s="598"/>
      <c r="K36" s="676"/>
      <c r="L36" s="634">
        <f>IF(A31&lt;=$F$3,C36+F36-I36,0)</f>
        <v>0</v>
      </c>
      <c r="M36" s="598">
        <f>IF(A31&lt;=$F$3,D36+G36-J36,0)</f>
        <v>0</v>
      </c>
      <c r="N36" s="598">
        <f>IF(A31&lt;=$F$3,E36+H36-K36,0)</f>
        <v>0</v>
      </c>
      <c r="O36" s="635">
        <f>IF(A31&lt;=$F$3,F36*Q36+G36*R36+H36*S36,0)</f>
        <v>0</v>
      </c>
      <c r="P36" s="636">
        <f>IF(A31&lt;=$F$3,I36*Q36+J36*R36+K36*S36,0)</f>
        <v>0</v>
      </c>
      <c r="Q36" s="637">
        <f t="shared" si="27"/>
        <v>293324.54545454541</v>
      </c>
      <c r="R36" s="638">
        <f t="shared" si="27"/>
        <v>398071.71490909089</v>
      </c>
      <c r="S36" s="639">
        <f t="shared" si="27"/>
        <v>420064.07854545448</v>
      </c>
      <c r="T36" s="637">
        <f>L36*$AH$6*AD$15</f>
        <v>0</v>
      </c>
      <c r="U36" s="640" t="e">
        <f>$AH$6*(1-AE$14)*((1+HLOOKUP($A$31,FC_Premissas!$D$5:$W$16,14,FALSE)^0.0833-1))*L36*12</f>
        <v>#REF!</v>
      </c>
      <c r="V36" s="638">
        <f>M36*$AP$6*AL$15</f>
        <v>0</v>
      </c>
      <c r="W36" s="640" t="e">
        <f>$AP$6*(1-AM$14)*((1+HLOOKUP($A$31,FC_Premissas!$D$5:$W$16,14,FALSE))^0.0833-1)*M36*12</f>
        <v>#REF!</v>
      </c>
      <c r="X36" s="637">
        <f>N36*$AX$6*AT$15</f>
        <v>0</v>
      </c>
      <c r="Y36" s="640" t="e">
        <f>$AX$6*(1-AU$14)*((1+HLOOKUP($A$31,FC_Premissas!$D$5:$W$16,14,FALSE))^0.0833-1)*N36*12</f>
        <v>#REF!</v>
      </c>
      <c r="Z36" s="638">
        <f t="shared" si="28"/>
        <v>0</v>
      </c>
      <c r="AA36" s="640" t="e">
        <f t="shared" si="28"/>
        <v>#REF!</v>
      </c>
      <c r="AB36" s="641"/>
      <c r="AI36" s="615"/>
      <c r="AJ36" s="615"/>
      <c r="AQ36" s="615"/>
      <c r="AR36" s="615"/>
      <c r="AY36" s="615"/>
    </row>
    <row r="37" spans="1:51" x14ac:dyDescent="0.2">
      <c r="A37" s="984"/>
      <c r="B37" s="633">
        <v>4</v>
      </c>
      <c r="C37" s="634">
        <f>IF(A31&lt;=$F$3,L11,0)</f>
        <v>0</v>
      </c>
      <c r="D37" s="598">
        <f>IF(A31&lt;=$F$3,M11,0)</f>
        <v>0</v>
      </c>
      <c r="E37" s="598">
        <f>IF(A31&lt;=$F$3,N11,0)</f>
        <v>0</v>
      </c>
      <c r="F37" s="634"/>
      <c r="G37" s="598"/>
      <c r="H37" s="677"/>
      <c r="I37" s="598"/>
      <c r="J37" s="598"/>
      <c r="K37" s="676"/>
      <c r="L37" s="634">
        <f>IF(A31&lt;=$F$3,C37+F37-I37,0)</f>
        <v>0</v>
      </c>
      <c r="M37" s="598">
        <f>IF(A31&lt;=$F$3,D37+G37-J37,0)</f>
        <v>0</v>
      </c>
      <c r="N37" s="598">
        <f>IF(A31&lt;=$F$3,E37+H37-K37,0)</f>
        <v>0</v>
      </c>
      <c r="O37" s="635">
        <f>IF(A31&lt;=$F$3,F37*Q37+G37*R37+H37*S37,0)</f>
        <v>0</v>
      </c>
      <c r="P37" s="636">
        <f>IF(A31&lt;=$F$3,I37*Q37+J37*R37+K37*S37,0)</f>
        <v>0</v>
      </c>
      <c r="Q37" s="637">
        <f t="shared" si="27"/>
        <v>233130.90909090909</v>
      </c>
      <c r="R37" s="638">
        <f t="shared" si="27"/>
        <v>318808.82618181815</v>
      </c>
      <c r="S37" s="639">
        <f t="shared" si="27"/>
        <v>336288.09890909091</v>
      </c>
      <c r="T37" s="637">
        <f>L37*$AH$6*AD$16</f>
        <v>0</v>
      </c>
      <c r="U37" s="640" t="e">
        <f>$AH$6*(1-AE$15)*((1+HLOOKUP($A$31,FC_Premissas!$D$5:$W$16,14,FALSE)^0.0833-1))*L37*12</f>
        <v>#REF!</v>
      </c>
      <c r="V37" s="638">
        <f>M37*$AP$6*AL$16</f>
        <v>0</v>
      </c>
      <c r="W37" s="640" t="e">
        <f>$AP$6*(1-AM$15)*((1+HLOOKUP($A$31,FC_Premissas!$D$5:$W$16,14,FALSE))^0.0833-1)*M37*12</f>
        <v>#REF!</v>
      </c>
      <c r="X37" s="637">
        <f>N37*$AX$6*AT$16</f>
        <v>0</v>
      </c>
      <c r="Y37" s="640" t="e">
        <f>$AX$6*(1-AU$15)*((1+HLOOKUP($A$31,FC_Premissas!$D$5:$W$16,14,FALSE))^0.0833-1)*N37*12</f>
        <v>#REF!</v>
      </c>
      <c r="Z37" s="638">
        <f t="shared" si="28"/>
        <v>0</v>
      </c>
      <c r="AA37" s="640" t="e">
        <f t="shared" si="28"/>
        <v>#REF!</v>
      </c>
      <c r="AB37" s="641"/>
      <c r="AI37" s="615"/>
      <c r="AQ37" s="615"/>
      <c r="AR37" s="615"/>
      <c r="AY37" s="615"/>
    </row>
    <row r="38" spans="1:51" x14ac:dyDescent="0.2">
      <c r="A38" s="984"/>
      <c r="B38" s="633">
        <v>5</v>
      </c>
      <c r="C38" s="634">
        <f>IF(A31&lt;=$F$3,L12,0)</f>
        <v>0</v>
      </c>
      <c r="D38" s="598">
        <f>IF(A31&lt;=$F$3,M12,0)</f>
        <v>0</v>
      </c>
      <c r="E38" s="598">
        <f>IF(A31&lt;=$F$3,N12,0)</f>
        <v>0</v>
      </c>
      <c r="F38" s="634"/>
      <c r="G38" s="598"/>
      <c r="H38" s="677"/>
      <c r="I38" s="598"/>
      <c r="J38" s="598"/>
      <c r="K38" s="676"/>
      <c r="L38" s="634">
        <f>IF(A31&lt;=$F$3,C38+F38-I38,0)</f>
        <v>0</v>
      </c>
      <c r="M38" s="598">
        <f>IF(A31&lt;=$F$3,D38+G38-J38,0)</f>
        <v>0</v>
      </c>
      <c r="N38" s="598">
        <f>IF(A31&lt;=$F$3,E38+H38-K38,0)</f>
        <v>0</v>
      </c>
      <c r="O38" s="635">
        <f>IF(A31&lt;=$F$3,F38*Q38+G38*R38+H38*S38,0)</f>
        <v>0</v>
      </c>
      <c r="P38" s="636">
        <f>IF(A31&lt;=$F$3,I38*Q38+J38*R38+K38*S38,0)</f>
        <v>0</v>
      </c>
      <c r="Q38" s="637">
        <f t="shared" si="27"/>
        <v>181536.36363636365</v>
      </c>
      <c r="R38" s="638">
        <f t="shared" si="27"/>
        <v>250869.20727272728</v>
      </c>
      <c r="S38" s="639">
        <f t="shared" si="27"/>
        <v>264480.11636363639</v>
      </c>
      <c r="T38" s="637">
        <f>L38*$AH$6*AD$17</f>
        <v>0</v>
      </c>
      <c r="U38" s="640" t="e">
        <f>$AH$6*(1-AE$16)*((1+HLOOKUP($A$31,FC_Premissas!$D$5:$W$16,14,FALSE)^0.0833-1))*L38*12</f>
        <v>#REF!</v>
      </c>
      <c r="V38" s="638">
        <f>M38*$AP$6*AL$17</f>
        <v>0</v>
      </c>
      <c r="W38" s="640" t="e">
        <f>$AP$6*(1-AM$16)*((1+HLOOKUP($A$31,FC_Premissas!$D$5:$W$16,14,FALSE))^0.0833-1)*M38*12</f>
        <v>#REF!</v>
      </c>
      <c r="X38" s="637">
        <f>N38*$AX$6*AT$17</f>
        <v>0</v>
      </c>
      <c r="Y38" s="640" t="e">
        <f>$AX$6*(1-AU$16)*((1+HLOOKUP($A$31,FC_Premissas!$D$5:$W$16,14,FALSE))^0.0833-1)*N38*12</f>
        <v>#REF!</v>
      </c>
      <c r="Z38" s="638">
        <f t="shared" si="28"/>
        <v>0</v>
      </c>
      <c r="AA38" s="640" t="e">
        <f t="shared" si="28"/>
        <v>#REF!</v>
      </c>
      <c r="AB38" s="641"/>
    </row>
    <row r="39" spans="1:51" x14ac:dyDescent="0.2">
      <c r="A39" s="984"/>
      <c r="B39" s="633">
        <v>6</v>
      </c>
      <c r="C39" s="634">
        <f>IF(A31&lt;=$F$3,L13,0)</f>
        <v>0</v>
      </c>
      <c r="D39" s="598">
        <f>IF(A31&lt;=$F$3,M13,0)</f>
        <v>0</v>
      </c>
      <c r="E39" s="598">
        <f>IF(A31&lt;=$F$3,N13,0)</f>
        <v>4</v>
      </c>
      <c r="F39" s="634"/>
      <c r="G39" s="598"/>
      <c r="H39" s="650"/>
      <c r="I39" s="598"/>
      <c r="J39" s="598"/>
      <c r="K39" s="676"/>
      <c r="L39" s="634">
        <f>IF(A31&lt;=$F$3,C39+F39-I39,0)</f>
        <v>0</v>
      </c>
      <c r="M39" s="598">
        <f>IF(A31&lt;=$F$3,D39+G39-J39,0)</f>
        <v>0</v>
      </c>
      <c r="N39" s="598">
        <f>IF(A31&lt;=$F$3,E39+H39-K39,0)</f>
        <v>4</v>
      </c>
      <c r="O39" s="635">
        <f>IF(A31&lt;=$F$3,F39*Q39+G39*R39+H39*S39,0)</f>
        <v>0</v>
      </c>
      <c r="P39" s="636">
        <f>IF(A31&lt;=$F$3,I39*Q39+J39*R39+K39*S39,0)</f>
        <v>0</v>
      </c>
      <c r="Q39" s="637">
        <f t="shared" si="27"/>
        <v>138540.90909090912</v>
      </c>
      <c r="R39" s="638">
        <f t="shared" si="27"/>
        <v>194252.85818181818</v>
      </c>
      <c r="S39" s="639">
        <f t="shared" si="27"/>
        <v>204640.13090909092</v>
      </c>
      <c r="T39" s="637">
        <f>L39*$AH$6*AD$18</f>
        <v>0</v>
      </c>
      <c r="U39" s="640" t="e">
        <f>$AH$6*(1-AE$17)*((1+HLOOKUP($A$31,FC_Premissas!$D$5:$W$16,14,FALSE)^0.0833-1))*L39*12</f>
        <v>#REF!</v>
      </c>
      <c r="V39" s="638">
        <f>M39*$AP$6*AL$18</f>
        <v>0</v>
      </c>
      <c r="W39" s="640" t="e">
        <f>$AP$6*(1-AM$17)*((1+HLOOKUP($A$31,FC_Premissas!$D$5:$W$16,14,FALSE))^0.0833-1)*M39*12</f>
        <v>#REF!</v>
      </c>
      <c r="X39" s="637">
        <f>N39*$AX$6*AT$18</f>
        <v>191487.95345454547</v>
      </c>
      <c r="Y39" s="640" t="e">
        <f>$AX$6*(1-AU$17)*((1+HLOOKUP($A$31,FC_Premissas!$D$5:$W$16,14,FALSE))^0.0833-1)*N39*12</f>
        <v>#REF!</v>
      </c>
      <c r="Z39" s="638">
        <f t="shared" si="28"/>
        <v>191487.95345454547</v>
      </c>
      <c r="AA39" s="640" t="e">
        <f t="shared" si="28"/>
        <v>#REF!</v>
      </c>
      <c r="AB39" s="641"/>
    </row>
    <row r="40" spans="1:51" x14ac:dyDescent="0.2">
      <c r="A40" s="984"/>
      <c r="B40" s="633">
        <v>7</v>
      </c>
      <c r="C40" s="634">
        <f>IF(A31&lt;=$F$3,L14,0)</f>
        <v>0</v>
      </c>
      <c r="D40" s="598">
        <f>IF(A31&lt;=$F$3,M14,0)</f>
        <v>0</v>
      </c>
      <c r="E40" s="598">
        <f>IF(A31&lt;=$F$3,N14,0)</f>
        <v>0</v>
      </c>
      <c r="F40" s="634"/>
      <c r="G40" s="598"/>
      <c r="H40" s="650"/>
      <c r="I40" s="598"/>
      <c r="J40" s="598"/>
      <c r="K40" s="676"/>
      <c r="L40" s="634">
        <f>IF(A31&lt;=$F$3,C40+F40-I40,0)</f>
        <v>0</v>
      </c>
      <c r="M40" s="598">
        <f>IF(A31&lt;=$F$3,D40+G40-J40,0)</f>
        <v>0</v>
      </c>
      <c r="N40" s="598">
        <f>IF(A31&lt;=$F$3,E40+H40-K40,0)</f>
        <v>0</v>
      </c>
      <c r="O40" s="635">
        <f>IF(A31&lt;=$F$3,F40*Q40+G40*R40+H40*S40,0)</f>
        <v>0</v>
      </c>
      <c r="P40" s="636">
        <f>IF(A31&lt;=$F$3,I40*Q40+J40*R40+K40*S40,0)</f>
        <v>0</v>
      </c>
      <c r="Q40" s="637">
        <f t="shared" si="27"/>
        <v>104144.54545454548</v>
      </c>
      <c r="R40" s="638">
        <f t="shared" si="27"/>
        <v>148959.77890909094</v>
      </c>
      <c r="S40" s="639">
        <f t="shared" si="27"/>
        <v>156768.14254545458</v>
      </c>
      <c r="T40" s="637">
        <f>L40*$AH$6*AD$19</f>
        <v>0</v>
      </c>
      <c r="U40" s="640" t="e">
        <f>$AH$6*(1-AE$18)*((1+HLOOKUP($A$31,FC_Premissas!$D$5:$W$16,14,FALSE)^0.0833-1))*L40*12</f>
        <v>#REF!</v>
      </c>
      <c r="V40" s="638">
        <f>M40*$AP$6*AL$19</f>
        <v>0</v>
      </c>
      <c r="W40" s="640" t="e">
        <f>$AP$6*(1-AM$18)*((1+HLOOKUP($A$31,FC_Premissas!$D$5:$W$16,14,FALSE))^0.0833-1)*M40*12</f>
        <v>#REF!</v>
      </c>
      <c r="X40" s="637">
        <f>N40*$AX$6*AT$19</f>
        <v>0</v>
      </c>
      <c r="Y40" s="640" t="e">
        <f>$AX$6*(1-AU$18)*((1+HLOOKUP($A$31,FC_Premissas!$D$5:$W$16,14,FALSE))^0.0833-1)*N40*12</f>
        <v>#REF!</v>
      </c>
      <c r="Z40" s="638">
        <f t="shared" si="28"/>
        <v>0</v>
      </c>
      <c r="AA40" s="640" t="e">
        <f t="shared" si="28"/>
        <v>#REF!</v>
      </c>
      <c r="AB40" s="641"/>
    </row>
    <row r="41" spans="1:51" x14ac:dyDescent="0.2">
      <c r="A41" s="984"/>
      <c r="B41" s="633">
        <v>8</v>
      </c>
      <c r="C41" s="634">
        <f>IF(A31&lt;=$F$3,L15,0)</f>
        <v>0</v>
      </c>
      <c r="D41" s="598">
        <f>IF(A31&lt;=$F$3,M15,0)</f>
        <v>0</v>
      </c>
      <c r="E41" s="598">
        <f>IF(A31&lt;=$F$3,N15,0)</f>
        <v>3</v>
      </c>
      <c r="F41" s="634"/>
      <c r="G41" s="598"/>
      <c r="H41" s="650"/>
      <c r="I41" s="598"/>
      <c r="J41" s="598"/>
      <c r="K41" s="676"/>
      <c r="L41" s="634">
        <f>IF(A31&lt;=$F$3,C41+F41-I41,0)</f>
        <v>0</v>
      </c>
      <c r="M41" s="598">
        <f>IF(A31&lt;=$F$3,D41+G41-J41,0)</f>
        <v>0</v>
      </c>
      <c r="N41" s="598">
        <f>IF(A31&lt;=$F$3,E41+H41-K41,0)</f>
        <v>3</v>
      </c>
      <c r="O41" s="635">
        <f>IF(A31&lt;=$F$3,F41*Q41+G41*R41+H41*S41,0)</f>
        <v>0</v>
      </c>
      <c r="P41" s="636">
        <f>IF(A31&lt;=$F$3,I41*Q41+J41*R41+K41*S41,0)</f>
        <v>0</v>
      </c>
      <c r="Q41" s="637">
        <f t="shared" si="27"/>
        <v>78347.272727272764</v>
      </c>
      <c r="R41" s="638">
        <f t="shared" si="27"/>
        <v>114989.9694545455</v>
      </c>
      <c r="S41" s="639">
        <f t="shared" si="27"/>
        <v>120864.15127272732</v>
      </c>
      <c r="T41" s="637">
        <f>L41*$AH$6*AD$20</f>
        <v>0</v>
      </c>
      <c r="U41" s="640" t="e">
        <f>$AH$6*(1-AE$19)*((1+HLOOKUP($A$31,FC_Premissas!$D$5:$W$16,14,FALSE)^0.0833-1))*L41*12</f>
        <v>#REF!</v>
      </c>
      <c r="V41" s="638">
        <f>M41*$AP$6*AL$20</f>
        <v>0</v>
      </c>
      <c r="W41" s="640" t="e">
        <f>$AP$6*(1-AM$19)*((1+HLOOKUP($A$31,FC_Premissas!$D$5:$W$16,14,FALSE))^0.0833-1)*M41*12</f>
        <v>#REF!</v>
      </c>
      <c r="X41" s="637">
        <f>N41*$AX$6*AT$20</f>
        <v>71807.98254545455</v>
      </c>
      <c r="Y41" s="640" t="e">
        <f>$AX$6*(1-AU$19)*((1+HLOOKUP($A$31,FC_Premissas!$D$5:$W$16,14,FALSE))^0.0833-1)*N41*12</f>
        <v>#REF!</v>
      </c>
      <c r="Z41" s="638">
        <f t="shared" si="28"/>
        <v>71807.98254545455</v>
      </c>
      <c r="AA41" s="640" t="e">
        <f t="shared" si="28"/>
        <v>#REF!</v>
      </c>
      <c r="AB41" s="641"/>
    </row>
    <row r="42" spans="1:51" x14ac:dyDescent="0.2">
      <c r="A42" s="984"/>
      <c r="B42" s="633">
        <v>9</v>
      </c>
      <c r="C42" s="634">
        <f>IF(A31&lt;=$F$3,L16,0)</f>
        <v>0</v>
      </c>
      <c r="D42" s="598">
        <f>IF(A31&lt;=$F$3,M16,0)</f>
        <v>0</v>
      </c>
      <c r="E42" s="598">
        <f>IF(A31&lt;=$F$3,N16,0)</f>
        <v>0</v>
      </c>
      <c r="F42" s="634"/>
      <c r="G42" s="598"/>
      <c r="H42" s="650"/>
      <c r="I42" s="598"/>
      <c r="J42" s="598"/>
      <c r="K42" s="676"/>
      <c r="L42" s="634">
        <f>IF(A31&lt;=$F$3,C42+F42-I42,0)</f>
        <v>0</v>
      </c>
      <c r="M42" s="598">
        <f>IF(A31&lt;=$F$3,D42+G42-J42,0)</f>
        <v>0</v>
      </c>
      <c r="N42" s="598">
        <f>IF(A31&lt;=$F$3,E42+H42-K42,0)</f>
        <v>0</v>
      </c>
      <c r="O42" s="635">
        <f>IF(A31&lt;=$F$3,F42*Q42+G42*R42+H42*S42,0)</f>
        <v>0</v>
      </c>
      <c r="P42" s="636">
        <f>IF(A31&lt;=$F$3,I42*Q42+J42*R42+K42*S42,0)</f>
        <v>0</v>
      </c>
      <c r="Q42" s="637">
        <f t="shared" si="27"/>
        <v>61149.090909090955</v>
      </c>
      <c r="R42" s="638">
        <f t="shared" si="27"/>
        <v>92343.429818181874</v>
      </c>
      <c r="S42" s="639">
        <f t="shared" si="27"/>
        <v>96928.157090909139</v>
      </c>
      <c r="T42" s="637">
        <f>L42*$AH$6*AD$21</f>
        <v>0</v>
      </c>
      <c r="U42" s="640" t="e">
        <f>$AH$6*(1-AE$20)*((1+HLOOKUP($A$31,FC_Premissas!$D$5:$W$16,14,FALSE)^0.0833-1))*L42*12</f>
        <v>#REF!</v>
      </c>
      <c r="V42" s="638">
        <f>M42*$AP$6*AL$21</f>
        <v>0</v>
      </c>
      <c r="W42" s="640" t="e">
        <f>$AP$6*(1-AM$20)*((1+HLOOKUP($A$31,FC_Premissas!$D$5:$W$16,14,FALSE))^0.0833-1)*M42*12</f>
        <v>#REF!</v>
      </c>
      <c r="X42" s="637">
        <f>N42*$AX$6*AT$21</f>
        <v>0</v>
      </c>
      <c r="Y42" s="640" t="e">
        <f>$AX$6*(1-AU$20)*((1+HLOOKUP($A$31,FC_Premissas!$D$5:$W$16,14,FALSE))^0.0833-1)*N42*12</f>
        <v>#REF!</v>
      </c>
      <c r="Z42" s="638">
        <f t="shared" si="28"/>
        <v>0</v>
      </c>
      <c r="AA42" s="640" t="e">
        <f t="shared" si="28"/>
        <v>#REF!</v>
      </c>
      <c r="AB42" s="641"/>
    </row>
    <row r="43" spans="1:51" x14ac:dyDescent="0.2">
      <c r="A43" s="984"/>
      <c r="B43" s="633">
        <v>10</v>
      </c>
      <c r="C43" s="634">
        <f>IF(A31&lt;=$F$3,L17,0)</f>
        <v>0</v>
      </c>
      <c r="D43" s="598">
        <f>IF(A31&lt;=$F$3,M17,0)</f>
        <v>0</v>
      </c>
      <c r="E43" s="598">
        <f>IF(A31&lt;=$F$3,N17,0)</f>
        <v>4</v>
      </c>
      <c r="F43" s="634"/>
      <c r="G43" s="598"/>
      <c r="H43" s="650"/>
      <c r="I43" s="598"/>
      <c r="J43" s="598"/>
      <c r="K43" s="676"/>
      <c r="L43" s="634">
        <f>IF(A31&lt;=$F$3,C43+F43-I43,0)</f>
        <v>0</v>
      </c>
      <c r="M43" s="598">
        <f>IF(A31&lt;=$F$3,D43+G43-J43,0)</f>
        <v>0</v>
      </c>
      <c r="N43" s="598">
        <f>IF(A31&lt;=$F$3,E43+H43-K43,0)</f>
        <v>4</v>
      </c>
      <c r="O43" s="635">
        <f>IF(A31&lt;=$F$3,F43*Q43+G43*R43+H43*S43,0)</f>
        <v>0</v>
      </c>
      <c r="P43" s="636">
        <f>IF(A31&lt;=$F$3,I43*Q43+J43*R43+K43*S43,0)</f>
        <v>0</v>
      </c>
      <c r="Q43" s="637">
        <f t="shared" si="27"/>
        <v>52550.000000000044</v>
      </c>
      <c r="R43" s="638">
        <f t="shared" si="27"/>
        <v>81020.160000000062</v>
      </c>
      <c r="S43" s="639">
        <f t="shared" si="27"/>
        <v>84960.160000000062</v>
      </c>
      <c r="T43" s="637">
        <f>L43*$AH$6*AD$22</f>
        <v>0</v>
      </c>
      <c r="U43" s="640" t="e">
        <f>$AH$6*(1-AE$21)*((1+HLOOKUP($A$31,FC_Premissas!$D$5:$W$16,14,FALSE)^0.0833-1))*L43*12</f>
        <v>#REF!</v>
      </c>
      <c r="V43" s="638">
        <f>M43*$AP$6*AL$22</f>
        <v>0</v>
      </c>
      <c r="W43" s="640" t="e">
        <f>$AP$6*(1-AM$21)*((1+HLOOKUP($A$31,FC_Premissas!$D$5:$W$16,14,FALSE))^0.0833-1)*M43*12</f>
        <v>#REF!</v>
      </c>
      <c r="X43" s="637">
        <f>N43*$AX$6*AT$22</f>
        <v>0</v>
      </c>
      <c r="Y43" s="640" t="e">
        <f>$AX$6*(1-AU$21)*((1+HLOOKUP($A$31,FC_Premissas!$D$5:$W$16,14,FALSE))^0.0833-1)*N43*12</f>
        <v>#REF!</v>
      </c>
      <c r="Z43" s="638">
        <f t="shared" si="28"/>
        <v>0</v>
      </c>
      <c r="AA43" s="640" t="e">
        <f t="shared" si="28"/>
        <v>#REF!</v>
      </c>
      <c r="AB43" s="641"/>
    </row>
    <row r="44" spans="1:51" x14ac:dyDescent="0.2">
      <c r="A44" s="984"/>
      <c r="B44" s="633">
        <v>11</v>
      </c>
      <c r="C44" s="634">
        <f>IF(A31&lt;=$F$3,L18,0)</f>
        <v>0</v>
      </c>
      <c r="D44" s="598">
        <f>IF(A31&lt;=$F$3,M18,0)</f>
        <v>0</v>
      </c>
      <c r="E44" s="598">
        <f>IF(A31&lt;=$F$3,N18,0)</f>
        <v>0</v>
      </c>
      <c r="F44" s="634"/>
      <c r="G44" s="598"/>
      <c r="H44" s="650"/>
      <c r="I44" s="598"/>
      <c r="J44" s="598"/>
      <c r="K44" s="676"/>
      <c r="L44" s="634">
        <f>IF(A31&lt;=$F$3,C44+F44-I44,0)</f>
        <v>0</v>
      </c>
      <c r="M44" s="598">
        <f>IF(A31&lt;=$F$3,D44+G44-J44,0)</f>
        <v>0</v>
      </c>
      <c r="N44" s="598">
        <f>IF(A31&lt;=$F$3,E44+H44-K44,0)</f>
        <v>0</v>
      </c>
      <c r="O44" s="635">
        <f>IF(A31&lt;=$F$3,F44*Q44+G44*R44+H44*S44,0)</f>
        <v>0</v>
      </c>
      <c r="P44" s="636">
        <f>IF(A31&lt;=$F$3,I44*Q44+J44*R44+K44*S44,0)</f>
        <v>0</v>
      </c>
      <c r="Q44" s="637">
        <f t="shared" si="27"/>
        <v>52550.000000000044</v>
      </c>
      <c r="R44" s="638">
        <f t="shared" si="27"/>
        <v>81020.160000000062</v>
      </c>
      <c r="S44" s="639">
        <f t="shared" si="27"/>
        <v>84960.160000000062</v>
      </c>
      <c r="T44" s="637">
        <f>L44*$AH$6*AD$23</f>
        <v>0</v>
      </c>
      <c r="U44" s="640" t="e">
        <f>$AH$6*(1-AE$22)*((1+HLOOKUP($A$31,FC_Premissas!$D$5:$W$16,14,FALSE)^0.0833-1))*L44*12</f>
        <v>#REF!</v>
      </c>
      <c r="V44" s="638">
        <f>M44*$AP$6*AL$23</f>
        <v>0</v>
      </c>
      <c r="W44" s="640" t="e">
        <f>$AP$6*(1-AM$22)*((1+HLOOKUP($A$31,FC_Premissas!$D$5:$W$16,14,FALSE))^0.0833-1)*M44*12</f>
        <v>#REF!</v>
      </c>
      <c r="X44" s="637">
        <f>N44*$AX$6*AT$23</f>
        <v>0</v>
      </c>
      <c r="Y44" s="640" t="e">
        <f>$AX$6*(1-AU$22)*((1+HLOOKUP($A$31,FC_Premissas!$D$5:$W$16,14,FALSE))^0.0833-1)*N44*12</f>
        <v>#REF!</v>
      </c>
      <c r="Z44" s="638">
        <f t="shared" si="28"/>
        <v>0</v>
      </c>
      <c r="AA44" s="640" t="e">
        <f t="shared" si="28"/>
        <v>#REF!</v>
      </c>
      <c r="AB44" s="641"/>
    </row>
    <row r="45" spans="1:51" x14ac:dyDescent="0.2">
      <c r="A45" s="984"/>
      <c r="B45" s="633">
        <v>12</v>
      </c>
      <c r="C45" s="634">
        <f>IF(A31&lt;=$F$3,L19,0)</f>
        <v>0</v>
      </c>
      <c r="D45" s="598">
        <f>IF(A31&lt;=$F$3,M19,0)</f>
        <v>0</v>
      </c>
      <c r="E45" s="598">
        <f>IF(A31&lt;=$F$3,N19,0)</f>
        <v>0</v>
      </c>
      <c r="F45" s="634"/>
      <c r="G45" s="598"/>
      <c r="H45" s="650"/>
      <c r="I45" s="598"/>
      <c r="J45" s="598"/>
      <c r="K45" s="676"/>
      <c r="L45" s="634">
        <f>IF(A31&lt;=$F$3,C45+F45-I45,0)</f>
        <v>0</v>
      </c>
      <c r="M45" s="598">
        <f>IF(A31&lt;=$F$3,D45+G45-J45,0)</f>
        <v>0</v>
      </c>
      <c r="N45" s="598">
        <f>IF(A31&lt;=$F$3,E45+H45-K45,0)</f>
        <v>0</v>
      </c>
      <c r="O45" s="635">
        <f>IF(A31&lt;=$F$3,F45*Q45+G45*R45+H45*S45,0)</f>
        <v>0</v>
      </c>
      <c r="P45" s="636">
        <f>IF(A31&lt;=$F$3,I45*Q45+J45*R45+K45*S45,0)</f>
        <v>0</v>
      </c>
      <c r="Q45" s="637">
        <f t="shared" si="27"/>
        <v>52550.000000000044</v>
      </c>
      <c r="R45" s="638">
        <f t="shared" si="27"/>
        <v>81020.160000000062</v>
      </c>
      <c r="S45" s="639">
        <f t="shared" si="27"/>
        <v>84960.160000000062</v>
      </c>
      <c r="T45" s="637">
        <f>L45*$AH$6*AD$24</f>
        <v>0</v>
      </c>
      <c r="U45" s="640" t="e">
        <f>$AH$6*(1-AE$23)*((1+HLOOKUP($A$31,FC_Premissas!$D$5:$W$16,14,FALSE)^0.0833-1))*L45*12</f>
        <v>#REF!</v>
      </c>
      <c r="V45" s="638">
        <f>M45*$AP$6*AL$24</f>
        <v>0</v>
      </c>
      <c r="W45" s="640" t="e">
        <f>$AP$6*(1-AM$23)*((1+HLOOKUP($A$31,FC_Premissas!$D$5:$W$16,14,FALSE))^0.0833-1)*M45*12</f>
        <v>#REF!</v>
      </c>
      <c r="X45" s="637">
        <f>N45*$AX$6*AT$24</f>
        <v>0</v>
      </c>
      <c r="Y45" s="640" t="e">
        <f>$AX$6*(1-AU$23)*((1+HLOOKUP($A$31,FC_Premissas!$D$5:$W$16,14,FALSE))^0.0833-1)*N45*12</f>
        <v>#REF!</v>
      </c>
      <c r="Z45" s="638">
        <f t="shared" si="28"/>
        <v>0</v>
      </c>
      <c r="AA45" s="640" t="e">
        <f t="shared" si="28"/>
        <v>#REF!</v>
      </c>
      <c r="AB45" s="641"/>
    </row>
    <row r="46" spans="1:51" x14ac:dyDescent="0.2">
      <c r="A46" s="984"/>
      <c r="B46" s="633">
        <v>13</v>
      </c>
      <c r="C46" s="634">
        <f>IF(A31&lt;=$F$3,L20,0)</f>
        <v>0</v>
      </c>
      <c r="D46" s="598">
        <f>IF(A31&lt;=$F$3,M20,0)</f>
        <v>0</v>
      </c>
      <c r="E46" s="650">
        <f>IF(A31&lt;=$F$3,N20,0)</f>
        <v>0</v>
      </c>
      <c r="F46" s="634"/>
      <c r="G46" s="598"/>
      <c r="H46" s="598"/>
      <c r="I46" s="634"/>
      <c r="J46" s="598"/>
      <c r="K46" s="676"/>
      <c r="L46" s="634">
        <f>IF(A31&lt;=$F$3,C46+F46-I46,0)</f>
        <v>0</v>
      </c>
      <c r="M46" s="598">
        <f>IF(A31&lt;=$F$3,D46+G46-J46,0)</f>
        <v>0</v>
      </c>
      <c r="N46" s="598">
        <f>IF(A31&lt;=$F$3,E46+H46-K46,0)</f>
        <v>0</v>
      </c>
      <c r="O46" s="635">
        <f>IF(A31&lt;=$F$3,F46*Q46+G46*R46+H46*S46,0)</f>
        <v>0</v>
      </c>
      <c r="P46" s="636">
        <f>IF(A31&lt;=$F$3,I46*Q46+J46*R46+K46*S46,0)</f>
        <v>0</v>
      </c>
      <c r="Q46" s="637">
        <f t="shared" si="27"/>
        <v>52550.000000000044</v>
      </c>
      <c r="R46" s="638">
        <f t="shared" si="27"/>
        <v>81020.160000000062</v>
      </c>
      <c r="S46" s="639">
        <f t="shared" si="27"/>
        <v>84960.160000000062</v>
      </c>
      <c r="T46" s="637">
        <f>L46*$AH$6*AD$25</f>
        <v>0</v>
      </c>
      <c r="U46" s="640" t="e">
        <f>$AH$6*(1-AE$24)*((1+HLOOKUP($A$31,FC_Premissas!$D$5:$W$16,14,FALSE)^0.0833-1))*L46*12</f>
        <v>#REF!</v>
      </c>
      <c r="V46" s="638">
        <f>M46*$AP$6*AL$25</f>
        <v>0</v>
      </c>
      <c r="W46" s="640" t="e">
        <f>$AP$6*(1-AM$24)*((1+HLOOKUP($A$31,FC_Premissas!$D$5:$W$16,14,FALSE))^0.0833-1)*M46*12</f>
        <v>#REF!</v>
      </c>
      <c r="X46" s="637">
        <f>N46*$AX$6*AT$25</f>
        <v>0</v>
      </c>
      <c r="Y46" s="640" t="e">
        <f>$AX$6*(1-AU$24)*((1+HLOOKUP($A$31,FC_Premissas!$D$5:$W$16,14,FALSE))^0.0833-1)*N46*12</f>
        <v>#REF!</v>
      </c>
      <c r="Z46" s="638">
        <f t="shared" si="28"/>
        <v>0</v>
      </c>
      <c r="AA46" s="640" t="e">
        <f t="shared" si="28"/>
        <v>#REF!</v>
      </c>
      <c r="AB46" s="641"/>
    </row>
    <row r="47" spans="1:51" x14ac:dyDescent="0.2">
      <c r="A47" s="984"/>
      <c r="B47" s="633">
        <v>14</v>
      </c>
      <c r="C47" s="634">
        <f>IF(A31&lt;=$F$3,L21,0)</f>
        <v>0</v>
      </c>
      <c r="D47" s="598">
        <f>IF(A31&lt;=$F$3,M21,0)</f>
        <v>0</v>
      </c>
      <c r="E47" s="650">
        <f>IF(A31&lt;=$F$3,N21,0)</f>
        <v>0</v>
      </c>
      <c r="F47" s="634"/>
      <c r="G47" s="598"/>
      <c r="H47" s="598"/>
      <c r="I47" s="634"/>
      <c r="J47" s="598"/>
      <c r="K47" s="598"/>
      <c r="L47" s="634">
        <f>IF(A31&lt;=$F$3,C47+F47-I47,0)</f>
        <v>0</v>
      </c>
      <c r="M47" s="598">
        <f>IF(A31&lt;=$F$3,D47+G47-J47,0)</f>
        <v>0</v>
      </c>
      <c r="N47" s="598">
        <f>IF(A31&lt;=$F$3,E47+H47-K47,0)</f>
        <v>0</v>
      </c>
      <c r="O47" s="635">
        <f>IF(A31&lt;=$F$3,F47*Q47+G47*R47+H47*S47,0)</f>
        <v>0</v>
      </c>
      <c r="P47" s="636">
        <f>IF(A31&lt;=$F$3,I47*Q47+J47*R47+K47*S47,0)</f>
        <v>0</v>
      </c>
      <c r="Q47" s="637">
        <f t="shared" si="27"/>
        <v>52550.000000000044</v>
      </c>
      <c r="R47" s="638">
        <f t="shared" si="27"/>
        <v>81020.160000000062</v>
      </c>
      <c r="S47" s="639">
        <f t="shared" si="27"/>
        <v>84960.160000000062</v>
      </c>
      <c r="T47" s="637">
        <f>L47*$AH$6*AD$26</f>
        <v>0</v>
      </c>
      <c r="U47" s="640" t="e">
        <f>$AH$6*(1-AE$25)*((1+HLOOKUP($A$31,FC_Premissas!$D$5:$W$16,14,FALSE)^0.0833-1))*L47*12</f>
        <v>#REF!</v>
      </c>
      <c r="V47" s="638">
        <f>M47*$AP$6*AL$26</f>
        <v>0</v>
      </c>
      <c r="W47" s="640" t="e">
        <f>$AP$6*(1-AM$25)*((1+HLOOKUP($A$31,FC_Premissas!$D$5:$W$16,14,FALSE))^0.0833-1)*M47*12</f>
        <v>#REF!</v>
      </c>
      <c r="X47" s="637">
        <f>N47*$AX$6*AT$26</f>
        <v>0</v>
      </c>
      <c r="Y47" s="640" t="e">
        <f>$AX$6*(1-AU$25)*((1+HLOOKUP($A$31,FC_Premissas!$D$5:$W$16,14,FALSE))^0.0833-1)*N47*12</f>
        <v>#REF!</v>
      </c>
      <c r="Z47" s="638">
        <f t="shared" si="28"/>
        <v>0</v>
      </c>
      <c r="AA47" s="640" t="e">
        <f t="shared" si="28"/>
        <v>#REF!</v>
      </c>
      <c r="AB47" s="641"/>
    </row>
    <row r="48" spans="1:51" x14ac:dyDescent="0.2">
      <c r="A48" s="984"/>
      <c r="B48" s="633">
        <v>15</v>
      </c>
      <c r="C48" s="634">
        <f>IF(A31&lt;=$F$3,L22,0)</f>
        <v>0</v>
      </c>
      <c r="D48" s="598">
        <f>IF(A31&lt;=$F$3,M22,0)</f>
        <v>0</v>
      </c>
      <c r="E48" s="650">
        <f>IF(A31&lt;=$F$3,N22,0)</f>
        <v>0</v>
      </c>
      <c r="F48" s="634"/>
      <c r="G48" s="598"/>
      <c r="H48" s="598"/>
      <c r="I48" s="634"/>
      <c r="J48" s="598"/>
      <c r="K48" s="598"/>
      <c r="L48" s="634">
        <f>IF(A31&lt;=$F$3,C48+F48-I48,0)</f>
        <v>0</v>
      </c>
      <c r="M48" s="598">
        <f>IF(A31&lt;=$F$3,D48+G48-J48,0)</f>
        <v>0</v>
      </c>
      <c r="N48" s="598">
        <f>IF(A31&lt;=$F$3,E48+H48-K48,0)</f>
        <v>0</v>
      </c>
      <c r="O48" s="635">
        <f>IF(A31&lt;=$F$3,F48*Q48+G48*R48+H48*S48,0)</f>
        <v>0</v>
      </c>
      <c r="P48" s="636">
        <f>IF(A31&lt;=$F$3,I48*Q48+J48*R48+K48*S48,0)</f>
        <v>0</v>
      </c>
      <c r="Q48" s="637">
        <f t="shared" si="27"/>
        <v>52550.000000000044</v>
      </c>
      <c r="R48" s="638">
        <f t="shared" si="27"/>
        <v>81020.160000000062</v>
      </c>
      <c r="S48" s="639">
        <f t="shared" si="27"/>
        <v>84960.160000000062</v>
      </c>
      <c r="T48" s="637">
        <f t="shared" ref="T48:T53" si="29">L48*$AH$6*AD$27</f>
        <v>0</v>
      </c>
      <c r="U48" s="640" t="e">
        <f>$AH$6*(1-AE$26)*((1+HLOOKUP($A$31,FC_Premissas!$D$5:$W$16,14,FALSE)^0.0833-1))*L48*12</f>
        <v>#REF!</v>
      </c>
      <c r="V48" s="638">
        <f t="shared" ref="V48:V53" si="30">M48*$AP$6*AL$27</f>
        <v>0</v>
      </c>
      <c r="W48" s="640" t="e">
        <f>$AP$6*(1-AM$26)*((1+HLOOKUP($A$31,FC_Premissas!$D$5:$W$16,14,FALSE))^0.0833-1)*M48*12</f>
        <v>#REF!</v>
      </c>
      <c r="X48" s="637">
        <f t="shared" ref="X48:X53" si="31">N48*$AX$6*AT$27</f>
        <v>0</v>
      </c>
      <c r="Y48" s="640" t="e">
        <f>$AX$6*(1-AU$26)*((1+HLOOKUP($A$31,FC_Premissas!$D$5:$W$16,14,FALSE))^0.0833-1)*N48*12</f>
        <v>#REF!</v>
      </c>
      <c r="Z48" s="638">
        <f t="shared" si="28"/>
        <v>0</v>
      </c>
      <c r="AA48" s="640" t="e">
        <f t="shared" si="28"/>
        <v>#REF!</v>
      </c>
      <c r="AB48" s="641"/>
    </row>
    <row r="49" spans="1:28" x14ac:dyDescent="0.2">
      <c r="A49" s="984"/>
      <c r="B49" s="633">
        <v>16</v>
      </c>
      <c r="C49" s="634">
        <f>IF(A31&lt;=$F$3,L23,0)</f>
        <v>0</v>
      </c>
      <c r="D49" s="598">
        <f>IF(A31&lt;=$F$3,M23,0)</f>
        <v>0</v>
      </c>
      <c r="E49" s="650">
        <f>IF(A31&lt;=$F$3,N23,0)</f>
        <v>0</v>
      </c>
      <c r="F49" s="634"/>
      <c r="G49" s="598"/>
      <c r="H49" s="598"/>
      <c r="I49" s="634"/>
      <c r="J49" s="598"/>
      <c r="K49" s="598"/>
      <c r="L49" s="634">
        <f>IF(A31&lt;=$F$3,C49+F49-I49,0)</f>
        <v>0</v>
      </c>
      <c r="M49" s="598">
        <f>IF(A31&lt;=$F$3,D49+G49-J49,0)</f>
        <v>0</v>
      </c>
      <c r="N49" s="598">
        <f>IF(A31&lt;=$F$3,E49+H49-K49,0)</f>
        <v>0</v>
      </c>
      <c r="O49" s="635">
        <f>IF(A31&lt;=$F$3,F49*Q49+G49*R49+H49*S49,0)</f>
        <v>0</v>
      </c>
      <c r="P49" s="636">
        <f>IF(A31&lt;=$F$3,I49*Q49+J49*R49+K49*S49,0)</f>
        <v>0</v>
      </c>
      <c r="Q49" s="637">
        <f t="shared" ref="Q49:S53" si="32">Q24</f>
        <v>52550.000000000044</v>
      </c>
      <c r="R49" s="638">
        <f t="shared" si="32"/>
        <v>81020.160000000062</v>
      </c>
      <c r="S49" s="639">
        <f t="shared" si="32"/>
        <v>84960.160000000062</v>
      </c>
      <c r="T49" s="637">
        <f t="shared" si="29"/>
        <v>0</v>
      </c>
      <c r="U49" s="640" t="e">
        <f>$AH$6*(1-AE$27)*((1+HLOOKUP($A$31,FC_Premissas!$D$5:$W$16,14,FALSE)^0.0833-1))*L49*12</f>
        <v>#REF!</v>
      </c>
      <c r="V49" s="638">
        <f t="shared" si="30"/>
        <v>0</v>
      </c>
      <c r="W49" s="640" t="e">
        <f>$AP$6*(1-AM$27)*((1+HLOOKUP($A$31,FC_Premissas!$D$5:$W$16,14,FALSE))^0.0833-1)*M49*12</f>
        <v>#REF!</v>
      </c>
      <c r="X49" s="637">
        <f t="shared" si="31"/>
        <v>0</v>
      </c>
      <c r="Y49" s="640" t="e">
        <f>$AX$6*(1-AU$27)*((1+HLOOKUP($A$31,FC_Premissas!$D$5:$W$16,14,FALSE))^0.0833-1)*N49*12</f>
        <v>#REF!</v>
      </c>
      <c r="Z49" s="638">
        <f t="shared" si="28"/>
        <v>0</v>
      </c>
      <c r="AA49" s="640" t="e">
        <f t="shared" si="28"/>
        <v>#REF!</v>
      </c>
      <c r="AB49" s="641"/>
    </row>
    <row r="50" spans="1:28" x14ac:dyDescent="0.2">
      <c r="A50" s="984"/>
      <c r="B50" s="633">
        <v>17</v>
      </c>
      <c r="C50" s="634">
        <f>IF(A31&lt;=$F$3,L24,0)</f>
        <v>0</v>
      </c>
      <c r="D50" s="598">
        <f>IF(A31&lt;=$F$3,M24,0)</f>
        <v>0</v>
      </c>
      <c r="E50" s="650">
        <f>IF(A31&lt;=$F$3,N24,0)</f>
        <v>0</v>
      </c>
      <c r="F50" s="634"/>
      <c r="G50" s="598"/>
      <c r="H50" s="598"/>
      <c r="I50" s="634"/>
      <c r="J50" s="598"/>
      <c r="K50" s="598"/>
      <c r="L50" s="634">
        <f>IF(A31&lt;=$F$3,C50+F50-I50,0)</f>
        <v>0</v>
      </c>
      <c r="M50" s="598">
        <f>IF(A31&lt;=$F$3,D50+G50-J50,0)</f>
        <v>0</v>
      </c>
      <c r="N50" s="598">
        <f>IF(A31&lt;=$F$3,E50+H50-K50,0)</f>
        <v>0</v>
      </c>
      <c r="O50" s="635">
        <f>IF(A31&lt;=$F$3,F50*Q50+G50*R50+H50*S50,0)</f>
        <v>0</v>
      </c>
      <c r="P50" s="636">
        <f>IF(A31&lt;=$F$3,I50*Q50+J50*R50+K50*S50,0)</f>
        <v>0</v>
      </c>
      <c r="Q50" s="637">
        <f t="shared" si="32"/>
        <v>52550.000000000044</v>
      </c>
      <c r="R50" s="638">
        <f t="shared" si="32"/>
        <v>81020.160000000062</v>
      </c>
      <c r="S50" s="639">
        <f t="shared" si="32"/>
        <v>84960.160000000062</v>
      </c>
      <c r="T50" s="637">
        <f t="shared" si="29"/>
        <v>0</v>
      </c>
      <c r="U50" s="640" t="e">
        <f>$AH$6*(1-AE$28)*((1+HLOOKUP($A$31,FC_Premissas!$D$5:$W$16,14,FALSE)^0.0833-1))*L50*12</f>
        <v>#REF!</v>
      </c>
      <c r="V50" s="638">
        <f t="shared" si="30"/>
        <v>0</v>
      </c>
      <c r="W50" s="640" t="e">
        <f>$AP$6*(1-AM$28)*((1+HLOOKUP($A$31,FC_Premissas!$D$5:$W$16,14,FALSE))^0.0833-1)*M50*12</f>
        <v>#REF!</v>
      </c>
      <c r="X50" s="637">
        <f t="shared" si="31"/>
        <v>0</v>
      </c>
      <c r="Y50" s="640" t="e">
        <f>$AX$6*(1-AU$28)*((1+HLOOKUP($A$31,FC_Premissas!$D$5:$W$16,14,FALSE))^0.0833-1)*N50*12</f>
        <v>#REF!</v>
      </c>
      <c r="Z50" s="638">
        <f t="shared" si="28"/>
        <v>0</v>
      </c>
      <c r="AA50" s="640" t="e">
        <f t="shared" si="28"/>
        <v>#REF!</v>
      </c>
      <c r="AB50" s="641"/>
    </row>
    <row r="51" spans="1:28" x14ac:dyDescent="0.2">
      <c r="A51" s="984"/>
      <c r="B51" s="633">
        <v>18</v>
      </c>
      <c r="C51" s="634">
        <f>IF(A31&lt;=$F$3,L25,0)</f>
        <v>0</v>
      </c>
      <c r="D51" s="598">
        <f>IF(A31&lt;=$F$3,M25,0)</f>
        <v>0</v>
      </c>
      <c r="E51" s="650">
        <f>IF(A31&lt;=$F$3,N25,0)</f>
        <v>0</v>
      </c>
      <c r="F51" s="634"/>
      <c r="G51" s="598"/>
      <c r="H51" s="598"/>
      <c r="I51" s="634"/>
      <c r="J51" s="598"/>
      <c r="K51" s="598"/>
      <c r="L51" s="634">
        <f>IF(A31&lt;=$F$3,C51+F51-I51,0)</f>
        <v>0</v>
      </c>
      <c r="M51" s="598">
        <f>IF(A31&lt;=$F$3,D51+G51-J51,0)</f>
        <v>0</v>
      </c>
      <c r="N51" s="598">
        <f>IF(A31&lt;=$F$3,E51+H51-K51,0)</f>
        <v>0</v>
      </c>
      <c r="O51" s="635">
        <f>IF(A31&lt;=$F$3,F51*Q51+G51*R51+H51*S51,0)</f>
        <v>0</v>
      </c>
      <c r="P51" s="636">
        <f>IF(A31&lt;=$F$3,I51*Q51+J51*R51+K51*S51,0)</f>
        <v>0</v>
      </c>
      <c r="Q51" s="637">
        <f t="shared" si="32"/>
        <v>52550.000000000044</v>
      </c>
      <c r="R51" s="638">
        <f t="shared" si="32"/>
        <v>81020.160000000062</v>
      </c>
      <c r="S51" s="639">
        <f t="shared" si="32"/>
        <v>84960.160000000062</v>
      </c>
      <c r="T51" s="637">
        <f t="shared" si="29"/>
        <v>0</v>
      </c>
      <c r="U51" s="640" t="e">
        <f>$AH$6*(1-AE$29)*((1+HLOOKUP($A$31,FC_Premissas!$D$5:$W$16,14,FALSE)^0.0833-1))*L51*12</f>
        <v>#REF!</v>
      </c>
      <c r="V51" s="638">
        <f t="shared" si="30"/>
        <v>0</v>
      </c>
      <c r="W51" s="640" t="e">
        <f>$AP$6*(1-AM$29)*((1+HLOOKUP($A$31,FC_Premissas!$D$5:$W$16,14,FALSE))^0.0833-1)*M51*12</f>
        <v>#REF!</v>
      </c>
      <c r="X51" s="637">
        <f t="shared" si="31"/>
        <v>0</v>
      </c>
      <c r="Y51" s="640" t="e">
        <f>$AX$6*(1-AU$29)*((1+HLOOKUP($A$31,FC_Premissas!$D$5:$W$16,14,FALSE))^0.0833-1)*N51*12</f>
        <v>#REF!</v>
      </c>
      <c r="Z51" s="638">
        <f t="shared" si="28"/>
        <v>0</v>
      </c>
      <c r="AA51" s="640" t="e">
        <f t="shared" si="28"/>
        <v>#REF!</v>
      </c>
      <c r="AB51" s="641"/>
    </row>
    <row r="52" spans="1:28" x14ac:dyDescent="0.2">
      <c r="A52" s="984"/>
      <c r="B52" s="633">
        <v>19</v>
      </c>
      <c r="C52" s="634">
        <f>IF(A31&lt;=$F$3,L26,0)</f>
        <v>0</v>
      </c>
      <c r="D52" s="598">
        <f>IF(A31&lt;=$F$3,M26,0)</f>
        <v>0</v>
      </c>
      <c r="E52" s="650">
        <f>IF(A31&lt;=$F$3,N26,0)</f>
        <v>0</v>
      </c>
      <c r="F52" s="634"/>
      <c r="G52" s="598"/>
      <c r="H52" s="598"/>
      <c r="I52" s="634"/>
      <c r="J52" s="598"/>
      <c r="K52" s="598"/>
      <c r="L52" s="634">
        <f>IF(A31&lt;=$F$3,C52+F52-I52,0)</f>
        <v>0</v>
      </c>
      <c r="M52" s="598">
        <f>IF(A31&lt;=$F$3,D52+G52-J52,0)</f>
        <v>0</v>
      </c>
      <c r="N52" s="598">
        <f>IF(A31&lt;=$F$3,E52+H52-K52,0)</f>
        <v>0</v>
      </c>
      <c r="O52" s="635">
        <f>IF(A31&lt;=$F$3,F52*Q52+G52*R52+H52*S52,0)</f>
        <v>0</v>
      </c>
      <c r="P52" s="636">
        <f>IF(A31&lt;=$F$3,I52*Q52+J52*R52+K52*S52,0)</f>
        <v>0</v>
      </c>
      <c r="Q52" s="637">
        <f t="shared" si="32"/>
        <v>52550.000000000044</v>
      </c>
      <c r="R52" s="638">
        <f t="shared" si="32"/>
        <v>81020.160000000062</v>
      </c>
      <c r="S52" s="639">
        <f t="shared" si="32"/>
        <v>84960.160000000062</v>
      </c>
      <c r="T52" s="637">
        <f t="shared" si="29"/>
        <v>0</v>
      </c>
      <c r="U52" s="640" t="e">
        <f>$AH$6*(1-AE$30)*((1+HLOOKUP($A$31,FC_Premissas!$D$5:$W$16,14,FALSE)^0.0833-1))*L52*12</f>
        <v>#REF!</v>
      </c>
      <c r="V52" s="638">
        <f t="shared" si="30"/>
        <v>0</v>
      </c>
      <c r="W52" s="640" t="e">
        <f>$AP$6*(1-AM$30)*((1+HLOOKUP($A$31,FC_Premissas!$D$5:$W$16,14,FALSE))^0.0833-1)*M52*12</f>
        <v>#REF!</v>
      </c>
      <c r="X52" s="637">
        <f t="shared" si="31"/>
        <v>0</v>
      </c>
      <c r="Y52" s="640" t="e">
        <f>$AX$6*(1-AU$30)*((1+HLOOKUP($A$31,FC_Premissas!$D$5:$W$16,14,FALSE))^0.0833-1)*N52*12</f>
        <v>#REF!</v>
      </c>
      <c r="Z52" s="638">
        <f t="shared" si="28"/>
        <v>0</v>
      </c>
      <c r="AA52" s="640" t="e">
        <f t="shared" si="28"/>
        <v>#REF!</v>
      </c>
      <c r="AB52" s="641"/>
    </row>
    <row r="53" spans="1:28" x14ac:dyDescent="0.2">
      <c r="A53" s="984"/>
      <c r="B53" s="633">
        <v>20</v>
      </c>
      <c r="C53" s="616">
        <f>IF(A31&lt;=$F$3,L27,0)</f>
        <v>0</v>
      </c>
      <c r="D53" s="617">
        <f>IF(A31&lt;=$F$3,M27,0)</f>
        <v>0</v>
      </c>
      <c r="E53" s="650">
        <f>IF(A31&lt;=$F$3,N27,0)</f>
        <v>0</v>
      </c>
      <c r="F53" s="616"/>
      <c r="G53" s="617"/>
      <c r="H53" s="598"/>
      <c r="I53" s="616"/>
      <c r="J53" s="617"/>
      <c r="K53" s="598"/>
      <c r="L53" s="616">
        <f>IF(A31&lt;=$F$3,C53+F53-I53,0)</f>
        <v>0</v>
      </c>
      <c r="M53" s="617">
        <f>IF(A31&lt;=$F$3,D53+G53-J53,0)</f>
        <v>0</v>
      </c>
      <c r="N53" s="598">
        <f>IF(A31&lt;=$F$3,E53+H53-K53,0)</f>
        <v>0</v>
      </c>
      <c r="O53" s="635">
        <f>IF(A31&lt;=$F$3,F53*Q53+G53*R53+H53*S53,0)</f>
        <v>0</v>
      </c>
      <c r="P53" s="636">
        <f>IF(A31&lt;=$F$3,I53*Q53+J53*R53+K53*S53,0)</f>
        <v>0</v>
      </c>
      <c r="Q53" s="651">
        <f t="shared" si="32"/>
        <v>52550.000000000044</v>
      </c>
      <c r="R53" s="652">
        <f t="shared" si="32"/>
        <v>81020.160000000062</v>
      </c>
      <c r="S53" s="653">
        <f t="shared" si="32"/>
        <v>84960.160000000062</v>
      </c>
      <c r="T53" s="651">
        <f t="shared" si="29"/>
        <v>0</v>
      </c>
      <c r="U53" s="654" t="e">
        <f>$AH$6*(1-AE$31)*((1+HLOOKUP($A$31,FC_Premissas!$D$5:$W$16,14,FALSE)^0.0833-1))*L53*12</f>
        <v>#REF!</v>
      </c>
      <c r="V53" s="652">
        <f t="shared" si="30"/>
        <v>0</v>
      </c>
      <c r="W53" s="640" t="e">
        <f>$AP$6*(1-AM$31)*((1+HLOOKUP($A$31,FC_Premissas!$D$5:$W$16,14,FALSE))^0.0833-1)*M53*12</f>
        <v>#REF!</v>
      </c>
      <c r="X53" s="651">
        <f t="shared" si="31"/>
        <v>0</v>
      </c>
      <c r="Y53" s="654" t="e">
        <f>$AX$6*(1-AU$31)*((1+HLOOKUP($A$31,FC_Premissas!$D$5:$W$16,14,FALSE))^0.0833-1)*N53*12</f>
        <v>#REF!</v>
      </c>
      <c r="Z53" s="652">
        <f t="shared" si="28"/>
        <v>0</v>
      </c>
      <c r="AA53" s="654" t="e">
        <f t="shared" si="28"/>
        <v>#REF!</v>
      </c>
      <c r="AB53" s="641"/>
    </row>
    <row r="54" spans="1:28" x14ac:dyDescent="0.2">
      <c r="A54" s="984"/>
      <c r="B54" s="655" t="s">
        <v>1228</v>
      </c>
      <c r="C54" s="656">
        <f t="shared" ref="C54:P54" si="33">SUM(C33:C53)</f>
        <v>0</v>
      </c>
      <c r="D54" s="657">
        <f t="shared" si="33"/>
        <v>0</v>
      </c>
      <c r="E54" s="658">
        <f t="shared" si="33"/>
        <v>11</v>
      </c>
      <c r="F54" s="656">
        <f t="shared" si="33"/>
        <v>0</v>
      </c>
      <c r="G54" s="657">
        <f t="shared" si="33"/>
        <v>0</v>
      </c>
      <c r="H54" s="658">
        <f t="shared" si="33"/>
        <v>0</v>
      </c>
      <c r="I54" s="656">
        <f t="shared" si="33"/>
        <v>0</v>
      </c>
      <c r="J54" s="657">
        <f t="shared" si="33"/>
        <v>0</v>
      </c>
      <c r="K54" s="658">
        <f t="shared" si="33"/>
        <v>0</v>
      </c>
      <c r="L54" s="656">
        <f t="shared" si="33"/>
        <v>0</v>
      </c>
      <c r="M54" s="657">
        <f t="shared" si="33"/>
        <v>0</v>
      </c>
      <c r="N54" s="657">
        <f t="shared" si="33"/>
        <v>11</v>
      </c>
      <c r="O54" s="659">
        <f t="shared" si="33"/>
        <v>0</v>
      </c>
      <c r="P54" s="660">
        <f t="shared" si="33"/>
        <v>0</v>
      </c>
      <c r="Q54" s="638"/>
      <c r="R54" s="638"/>
      <c r="S54" s="638"/>
      <c r="T54" s="661">
        <f t="shared" ref="T54:AA54" si="34">SUM(T33:T53)</f>
        <v>0</v>
      </c>
      <c r="U54" s="662" t="e">
        <f t="shared" si="34"/>
        <v>#REF!</v>
      </c>
      <c r="V54" s="663">
        <f t="shared" si="34"/>
        <v>0</v>
      </c>
      <c r="W54" s="662" t="e">
        <f t="shared" si="34"/>
        <v>#REF!</v>
      </c>
      <c r="X54" s="663">
        <f t="shared" si="34"/>
        <v>263295.93599999999</v>
      </c>
      <c r="Y54" s="662" t="e">
        <f t="shared" si="34"/>
        <v>#REF!</v>
      </c>
      <c r="Z54" s="663">
        <f t="shared" si="34"/>
        <v>263295.93599999999</v>
      </c>
      <c r="AA54" s="664" t="e">
        <f t="shared" si="34"/>
        <v>#REF!</v>
      </c>
      <c r="AB54" s="641"/>
    </row>
    <row r="55" spans="1:28" x14ac:dyDescent="0.2">
      <c r="A55" s="985"/>
      <c r="B55" s="977" t="s">
        <v>1229</v>
      </c>
      <c r="C55" s="977"/>
      <c r="D55" s="977"/>
      <c r="E55" s="666">
        <f>(L55*L54+M55*M54+N55*N54)/(L54+M54+N54)</f>
        <v>8</v>
      </c>
      <c r="F55" s="665" t="s">
        <v>140</v>
      </c>
      <c r="G55" s="665"/>
      <c r="H55" s="665"/>
      <c r="I55" s="665"/>
      <c r="J55" s="665"/>
      <c r="K55" s="665"/>
      <c r="L55" s="887">
        <f>IF(L54=0,0,(SUMPRODUCT(L33:L53,$B33:$B53)/L54))</f>
        <v>0</v>
      </c>
      <c r="M55" s="887">
        <f>IF(M54=0,0,(SUMPRODUCT(M33:M53,$B33:$B53)/M54))</f>
        <v>0</v>
      </c>
      <c r="N55" s="887">
        <f>IF(N54=0,0,ROUND(SUMPRODUCT(N33:N53,$B33:$B53)/N54,0))</f>
        <v>8</v>
      </c>
      <c r="O55" s="667"/>
      <c r="P55" s="668"/>
      <c r="Q55" s="638"/>
      <c r="R55" s="638"/>
      <c r="S55" s="638"/>
      <c r="T55" s="638"/>
      <c r="U55" s="669"/>
      <c r="V55" s="638"/>
      <c r="W55" s="669"/>
      <c r="X55" s="638"/>
      <c r="Y55" s="669"/>
      <c r="Z55" s="638"/>
      <c r="AA55" s="669"/>
    </row>
    <row r="56" spans="1:28" ht="12.75" customHeight="1" x14ac:dyDescent="0.2">
      <c r="A56" s="983">
        <f>A31+1</f>
        <v>3</v>
      </c>
      <c r="B56" s="986" t="s">
        <v>1077</v>
      </c>
      <c r="C56" s="988" t="s">
        <v>1202</v>
      </c>
      <c r="D56" s="989"/>
      <c r="E56" s="990"/>
      <c r="F56" s="991" t="s">
        <v>1203</v>
      </c>
      <c r="G56" s="992"/>
      <c r="H56" s="993"/>
      <c r="I56" s="991" t="s">
        <v>1204</v>
      </c>
      <c r="J56" s="992"/>
      <c r="K56" s="993"/>
      <c r="L56" s="991" t="s">
        <v>1205</v>
      </c>
      <c r="M56" s="992"/>
      <c r="N56" s="992"/>
      <c r="O56" s="978" t="s">
        <v>1206</v>
      </c>
      <c r="P56" s="979"/>
      <c r="Q56" s="980" t="s">
        <v>1207</v>
      </c>
      <c r="R56" s="981"/>
      <c r="S56" s="982"/>
      <c r="T56" s="607" t="s">
        <v>1208</v>
      </c>
      <c r="U56" s="609" t="s">
        <v>1209</v>
      </c>
      <c r="V56" s="608" t="s">
        <v>1210</v>
      </c>
      <c r="W56" s="610" t="s">
        <v>1211</v>
      </c>
      <c r="X56" s="607" t="s">
        <v>1210</v>
      </c>
      <c r="Y56" s="609" t="s">
        <v>1211</v>
      </c>
      <c r="Z56" s="607" t="s">
        <v>1210</v>
      </c>
      <c r="AA56" s="609" t="s">
        <v>1211</v>
      </c>
    </row>
    <row r="57" spans="1:28" x14ac:dyDescent="0.2">
      <c r="A57" s="984"/>
      <c r="B57" s="987"/>
      <c r="C57" s="616" t="str">
        <f>$C$7</f>
        <v>Mini</v>
      </c>
      <c r="D57" s="617" t="str">
        <f>$D$7</f>
        <v>Midi</v>
      </c>
      <c r="E57" s="617" t="str">
        <f>$E$7</f>
        <v>Básico</v>
      </c>
      <c r="F57" s="616" t="str">
        <f>$C$7</f>
        <v>Mini</v>
      </c>
      <c r="G57" s="617" t="str">
        <f>$D$7</f>
        <v>Midi</v>
      </c>
      <c r="H57" s="617" t="str">
        <f>$E$7</f>
        <v>Básico</v>
      </c>
      <c r="I57" s="616" t="str">
        <f>$C$7</f>
        <v>Mini</v>
      </c>
      <c r="J57" s="617" t="str">
        <f>$D$7</f>
        <v>Midi</v>
      </c>
      <c r="K57" s="617" t="str">
        <f>$E$7</f>
        <v>Básico</v>
      </c>
      <c r="L57" s="616" t="str">
        <f>$C$7</f>
        <v>Mini</v>
      </c>
      <c r="M57" s="617" t="str">
        <f>$D$7</f>
        <v>Midi</v>
      </c>
      <c r="N57" s="617" t="str">
        <f>$E$7</f>
        <v>Básico</v>
      </c>
      <c r="O57" s="667" t="s">
        <v>1203</v>
      </c>
      <c r="P57" s="668" t="s">
        <v>1204</v>
      </c>
      <c r="Q57" s="620" t="str">
        <f>C57</f>
        <v>Mini</v>
      </c>
      <c r="R57" s="621" t="str">
        <f>D57</f>
        <v>Midi</v>
      </c>
      <c r="S57" s="622" t="str">
        <f>E57</f>
        <v>Básico</v>
      </c>
      <c r="T57" s="623" t="str">
        <f>C57</f>
        <v>Mini</v>
      </c>
      <c r="U57" s="624" t="str">
        <f>C57</f>
        <v>Mini</v>
      </c>
      <c r="V57" s="625" t="str">
        <f>D57</f>
        <v>Midi</v>
      </c>
      <c r="W57" s="626" t="str">
        <f>D57</f>
        <v>Midi</v>
      </c>
      <c r="X57" s="623" t="str">
        <f>E57</f>
        <v>Básico</v>
      </c>
      <c r="Y57" s="624" t="str">
        <f>E57</f>
        <v>Básico</v>
      </c>
      <c r="Z57" s="627" t="s">
        <v>1218</v>
      </c>
      <c r="AA57" s="628" t="s">
        <v>1218</v>
      </c>
    </row>
    <row r="58" spans="1:28" x14ac:dyDescent="0.2">
      <c r="A58" s="984"/>
      <c r="B58" s="633">
        <v>0</v>
      </c>
      <c r="C58" s="634">
        <v>0</v>
      </c>
      <c r="F58" s="965"/>
      <c r="G58" s="966"/>
      <c r="H58" s="675"/>
      <c r="I58" s="598"/>
      <c r="J58" s="598"/>
      <c r="K58" s="676"/>
      <c r="L58" s="634">
        <f>IF(A56&lt;=$F$3,C58+F58-I58,0)</f>
        <v>0</v>
      </c>
      <c r="M58" s="598">
        <f>IF(A56&lt;=$F$3,D58+G58-J58,0)</f>
        <v>0</v>
      </c>
      <c r="N58" s="598">
        <f>IF(A56&lt;=$F$3,E58+H58-K58,0)</f>
        <v>0</v>
      </c>
      <c r="O58" s="635">
        <f>IF(A56&lt;=$F$3,F58*Q58+G58*R58+H58*S58,0)</f>
        <v>0</v>
      </c>
      <c r="P58" s="636">
        <f>IF(A56&lt;=$F$3,I58*Q58+J58*R58+K58*S58,0)</f>
        <v>0</v>
      </c>
      <c r="Q58" s="637">
        <f t="shared" ref="Q58:S73" si="35">Q33</f>
        <v>525500</v>
      </c>
      <c r="R58" s="638">
        <f t="shared" si="35"/>
        <v>703800</v>
      </c>
      <c r="S58" s="639">
        <f t="shared" si="35"/>
        <v>743200</v>
      </c>
      <c r="T58" s="637">
        <f>L58*$AH$6*AD$12</f>
        <v>0</v>
      </c>
      <c r="U58" s="640" t="e">
        <f>$AH$6*(1-AE$11)*((1+HLOOKUP($A$56,FC_Premissas!$D$5:$W$16,14,FALSE)^0.0833-1))*L58*12</f>
        <v>#REF!</v>
      </c>
      <c r="V58" s="638">
        <f>M58*$AP$6*AL$12</f>
        <v>0</v>
      </c>
      <c r="W58" s="640" t="e">
        <f>$AP$6*(1-AM$11)*((1+HLOOKUP($A$56,FC_Premissas!$D$5:$W$16,14,FALSE)^0.0833-1))*M58*12</f>
        <v>#REF!</v>
      </c>
      <c r="X58" s="637">
        <f>N58*$AX$6*AT$12</f>
        <v>0</v>
      </c>
      <c r="Y58" s="640" t="e">
        <f>$AX$6*(1-AU$11)*((1+HLOOKUP($A$56,FC_Premissas!$D$5:$W$16,14,FALSE)^0.0833-1))*N58*12</f>
        <v>#REF!</v>
      </c>
      <c r="Z58" s="638">
        <f t="shared" ref="Z58:AA78" si="36">T58+V58+X58</f>
        <v>0</v>
      </c>
      <c r="AA58" s="640" t="e">
        <f t="shared" si="36"/>
        <v>#REF!</v>
      </c>
      <c r="AB58" s="641"/>
    </row>
    <row r="59" spans="1:28" x14ac:dyDescent="0.2">
      <c r="A59" s="984"/>
      <c r="B59" s="633">
        <v>1</v>
      </c>
      <c r="C59" s="634">
        <f>IF(A56&lt;=$F$3,L33,0)</f>
        <v>0</v>
      </c>
      <c r="D59" s="598">
        <f>IF(A56&lt;=$F$3,M33,0)</f>
        <v>0</v>
      </c>
      <c r="E59" s="598">
        <f>IF(A56&lt;=$F$3,N33,0)</f>
        <v>0</v>
      </c>
      <c r="F59" s="634"/>
      <c r="G59" s="598"/>
      <c r="H59" s="677"/>
      <c r="I59" s="598"/>
      <c r="J59" s="598"/>
      <c r="K59" s="676"/>
      <c r="L59" s="634">
        <f>IF(A56&lt;=$F$3,C59+F59-I59,0)</f>
        <v>0</v>
      </c>
      <c r="M59" s="598">
        <f>IF(A56&lt;=$F$3,D59+G59-J59,0)</f>
        <v>0</v>
      </c>
      <c r="N59" s="598">
        <f>IF(A56&lt;=$F$3,E59+H59-K59,0)</f>
        <v>0</v>
      </c>
      <c r="O59" s="635">
        <f>IF(A56&lt;=$F$3,F59*Q59+G59*R59+H59*S59,0)</f>
        <v>0</v>
      </c>
      <c r="P59" s="636">
        <f>IF(A56&lt;=$F$3,I59*Q59+J59*R59+K59*S59,0)</f>
        <v>0</v>
      </c>
      <c r="Q59" s="637">
        <f t="shared" si="35"/>
        <v>439509.09090909094</v>
      </c>
      <c r="R59" s="638">
        <f t="shared" si="35"/>
        <v>590567.30181818188</v>
      </c>
      <c r="S59" s="639">
        <f t="shared" si="35"/>
        <v>623520.02909090917</v>
      </c>
      <c r="T59" s="637">
        <f>L59*$AH$6*AD$13</f>
        <v>0</v>
      </c>
      <c r="U59" s="640" t="e">
        <f>$AH$6*(1-AE$12)*((1+HLOOKUP($A$56,FC_Premissas!$D$5:$W$16,14,FALSE)^0.0833-1))*L59*12</f>
        <v>#REF!</v>
      </c>
      <c r="V59" s="638">
        <f>M59*$AP$6*AL$13</f>
        <v>0</v>
      </c>
      <c r="W59" s="640" t="e">
        <f>$AP$6*(1-AM$12)*((1+HLOOKUP($A$56,FC_Premissas!$D$5:$W$16,14,FALSE))^0.0833-1)*M59*12</f>
        <v>#REF!</v>
      </c>
      <c r="X59" s="637">
        <f>N59*$AX$6*AT$13</f>
        <v>0</v>
      </c>
      <c r="Y59" s="640" t="e">
        <f>$AX$6*(1-AU$12)*((1+HLOOKUP($A$56,FC_Premissas!$D$5:$W$16,14,FALSE))^0.0833-1)*N59*12</f>
        <v>#REF!</v>
      </c>
      <c r="Z59" s="638">
        <f t="shared" si="36"/>
        <v>0</v>
      </c>
      <c r="AA59" s="640" t="e">
        <f t="shared" si="36"/>
        <v>#REF!</v>
      </c>
      <c r="AB59" s="641"/>
    </row>
    <row r="60" spans="1:28" x14ac:dyDescent="0.2">
      <c r="A60" s="984"/>
      <c r="B60" s="633">
        <v>2</v>
      </c>
      <c r="C60" s="634">
        <f>IF(A56&lt;=$F$3,L34,0)</f>
        <v>0</v>
      </c>
      <c r="D60" s="598">
        <f>IF(A56&lt;=$F$3,M34,0)</f>
        <v>0</v>
      </c>
      <c r="E60" s="598">
        <f>IF(A56&lt;=$F$3,N34,0)</f>
        <v>0</v>
      </c>
      <c r="F60" s="634"/>
      <c r="G60" s="598"/>
      <c r="H60" s="677"/>
      <c r="I60" s="598"/>
      <c r="J60" s="598"/>
      <c r="K60" s="676"/>
      <c r="L60" s="634">
        <f>IF(A56&lt;=$F$3,C60+F60-I60,0)</f>
        <v>0</v>
      </c>
      <c r="M60" s="598">
        <f>IF(A56&lt;=$F$3,D60+G60-J60,0)</f>
        <v>0</v>
      </c>
      <c r="N60" s="598">
        <f>IF(A56&lt;=$F$3,E60+H60-K60,0)</f>
        <v>0</v>
      </c>
      <c r="O60" s="635">
        <f>IF(A56&lt;=$F$3,F60*Q60+G60*R60+H60*S60,0)</f>
        <v>0</v>
      </c>
      <c r="P60" s="636">
        <f>IF(A56&lt;=$F$3,I60*Q60+J60*R60+K60*S60,0)</f>
        <v>0</v>
      </c>
      <c r="Q60" s="637">
        <f t="shared" si="35"/>
        <v>362117.27272727271</v>
      </c>
      <c r="R60" s="638">
        <f t="shared" si="35"/>
        <v>488657.87345454545</v>
      </c>
      <c r="S60" s="639">
        <f t="shared" si="35"/>
        <v>515808.05527272727</v>
      </c>
      <c r="T60" s="637">
        <f>L60*$AH$6*AD$14</f>
        <v>0</v>
      </c>
      <c r="U60" s="640" t="e">
        <f>$AH$6*(1-AE$13)*((1+HLOOKUP($A$56,FC_Premissas!$D$5:$W$16,14,FALSE)^0.0833-1))*L60*12</f>
        <v>#REF!</v>
      </c>
      <c r="V60" s="638">
        <f>M60*$AP$6*AL$14</f>
        <v>0</v>
      </c>
      <c r="W60" s="640" t="e">
        <f>$AP$6*(1-AM$13)*((1+HLOOKUP($A$56,FC_Premissas!$D$5:$W$16,14,FALSE))^0.0833-1)*M60*12</f>
        <v>#REF!</v>
      </c>
      <c r="X60" s="637">
        <f>N60*$AX$6*AT$14</f>
        <v>0</v>
      </c>
      <c r="Y60" s="640" t="e">
        <f>$AX$6*(1-AU$13)*((1+HLOOKUP($A$56,FC_Premissas!$D$5:$W$16,14,FALSE))^0.0833-1)*N60*12</f>
        <v>#REF!</v>
      </c>
      <c r="Z60" s="638">
        <f t="shared" si="36"/>
        <v>0</v>
      </c>
      <c r="AA60" s="640" t="e">
        <f t="shared" si="36"/>
        <v>#REF!</v>
      </c>
      <c r="AB60" s="641"/>
    </row>
    <row r="61" spans="1:28" x14ac:dyDescent="0.2">
      <c r="A61" s="984"/>
      <c r="B61" s="633">
        <v>3</v>
      </c>
      <c r="C61" s="634">
        <f>IF(A56&lt;=$F$3,L35,0)</f>
        <v>0</v>
      </c>
      <c r="D61" s="598">
        <f>IF(A56&lt;=$F$3,M35,0)</f>
        <v>0</v>
      </c>
      <c r="E61" s="598">
        <f>IF(A56&lt;=$F$3,N35,0)</f>
        <v>0</v>
      </c>
      <c r="F61" s="634"/>
      <c r="G61" s="598"/>
      <c r="H61" s="677"/>
      <c r="I61" s="598"/>
      <c r="J61" s="598"/>
      <c r="K61" s="676"/>
      <c r="L61" s="634">
        <f>IF(A56&lt;=$F$3,C61+F61-I61,0)</f>
        <v>0</v>
      </c>
      <c r="M61" s="598">
        <f>IF(A56&lt;=$F$3,D61+G61-J61,0)</f>
        <v>0</v>
      </c>
      <c r="N61" s="598">
        <f>IF(A56&lt;=$F$3,E61+H61-K61,0)</f>
        <v>0</v>
      </c>
      <c r="O61" s="635">
        <f>IF(A56&lt;=$F$3,F61*Q61+G61*R61+H61*S61,0)</f>
        <v>0</v>
      </c>
      <c r="P61" s="636">
        <f>IF(A56&lt;=$F$3,I61*Q61+J61*R61+K61*S61,0)</f>
        <v>0</v>
      </c>
      <c r="Q61" s="637">
        <f t="shared" si="35"/>
        <v>293324.54545454541</v>
      </c>
      <c r="R61" s="638">
        <f t="shared" si="35"/>
        <v>398071.71490909089</v>
      </c>
      <c r="S61" s="639">
        <f t="shared" si="35"/>
        <v>420064.07854545448</v>
      </c>
      <c r="T61" s="637">
        <f>L61*$AH$6*AD$15</f>
        <v>0</v>
      </c>
      <c r="U61" s="640" t="e">
        <f>$AH$6*(1-AE$14)*((1+HLOOKUP($A$56,FC_Premissas!$D$5:$W$16,14,FALSE)^0.0833-1))*L61*12</f>
        <v>#REF!</v>
      </c>
      <c r="V61" s="638">
        <f>M61*$AP$6*AL$15</f>
        <v>0</v>
      </c>
      <c r="W61" s="640" t="e">
        <f>$AP$6*(1-AM$14)*((1+HLOOKUP($A$56,FC_Premissas!$D$5:$W$16,14,FALSE))^0.0833-1)*M61*12</f>
        <v>#REF!</v>
      </c>
      <c r="X61" s="637">
        <f>N61*$AX$6*AT$15</f>
        <v>0</v>
      </c>
      <c r="Y61" s="640" t="e">
        <f>$AX$6*(1-AU$14)*((1+HLOOKUP($A$56,FC_Premissas!$D$5:$W$16,14,FALSE))^0.0833-1)*N61*12</f>
        <v>#REF!</v>
      </c>
      <c r="Z61" s="638">
        <f t="shared" si="36"/>
        <v>0</v>
      </c>
      <c r="AA61" s="640" t="e">
        <f t="shared" si="36"/>
        <v>#REF!</v>
      </c>
      <c r="AB61" s="641"/>
    </row>
    <row r="62" spans="1:28" x14ac:dyDescent="0.2">
      <c r="A62" s="984"/>
      <c r="B62" s="633">
        <v>4</v>
      </c>
      <c r="C62" s="634">
        <f>IF(A56&lt;=$F$3,L36,0)</f>
        <v>0</v>
      </c>
      <c r="D62" s="598">
        <f>IF(A56&lt;=$F$3,M36,0)</f>
        <v>0</v>
      </c>
      <c r="E62" s="598">
        <f>IF(A56&lt;=$F$3,N36,0)</f>
        <v>0</v>
      </c>
      <c r="F62" s="634"/>
      <c r="G62" s="598"/>
      <c r="H62" s="677"/>
      <c r="I62" s="598"/>
      <c r="J62" s="598"/>
      <c r="K62" s="676"/>
      <c r="L62" s="634">
        <f>IF(A56&lt;=$F$3,C62+F62-I62,0)</f>
        <v>0</v>
      </c>
      <c r="M62" s="598">
        <f>IF(A56&lt;=$F$3,D62+G62-J62,0)</f>
        <v>0</v>
      </c>
      <c r="N62" s="598">
        <f>IF(A56&lt;=$F$3,E62+H62-K62,0)</f>
        <v>0</v>
      </c>
      <c r="O62" s="635">
        <f>IF(A56&lt;=$F$3,F62*Q62+G62*R62+H62*S62,0)</f>
        <v>0</v>
      </c>
      <c r="P62" s="636">
        <f>IF(A56&lt;=$F$3,I62*Q62+J62*R62+K62*S62,0)</f>
        <v>0</v>
      </c>
      <c r="Q62" s="637">
        <f t="shared" si="35"/>
        <v>233130.90909090909</v>
      </c>
      <c r="R62" s="638">
        <f t="shared" si="35"/>
        <v>318808.82618181815</v>
      </c>
      <c r="S62" s="639">
        <f t="shared" si="35"/>
        <v>336288.09890909091</v>
      </c>
      <c r="T62" s="637">
        <f>L62*$AH$6*AD$16</f>
        <v>0</v>
      </c>
      <c r="U62" s="640" t="e">
        <f>$AH$6*(1-AE$15)*((1+HLOOKUP($A$56,FC_Premissas!$D$5:$W$16,14,FALSE)^0.0833-1))*L62*12</f>
        <v>#REF!</v>
      </c>
      <c r="V62" s="638">
        <f>M62*$AP$6*AL$16</f>
        <v>0</v>
      </c>
      <c r="W62" s="640" t="e">
        <f>$AP$6*(1-AM$15)*((1+HLOOKUP($A$56,FC_Premissas!$D$5:$W$16,14,FALSE))^0.0833-1)*M62*12</f>
        <v>#REF!</v>
      </c>
      <c r="X62" s="637">
        <f>N62*$AX$6*AT$16</f>
        <v>0</v>
      </c>
      <c r="Y62" s="640" t="e">
        <f>$AX$6*(1-AU$15)*((1+HLOOKUP($A$56,FC_Premissas!$D$5:$W$16,14,FALSE))^0.0833-1)*N62*12</f>
        <v>#REF!</v>
      </c>
      <c r="Z62" s="638">
        <f t="shared" si="36"/>
        <v>0</v>
      </c>
      <c r="AA62" s="640" t="e">
        <f t="shared" si="36"/>
        <v>#REF!</v>
      </c>
      <c r="AB62" s="641"/>
    </row>
    <row r="63" spans="1:28" x14ac:dyDescent="0.2">
      <c r="A63" s="984"/>
      <c r="B63" s="633">
        <v>5</v>
      </c>
      <c r="C63" s="634">
        <f>IF(A56&lt;=$F$3,L37,0)</f>
        <v>0</v>
      </c>
      <c r="D63" s="598">
        <f>IF(A56&lt;=$F$3,M37,0)</f>
        <v>0</v>
      </c>
      <c r="E63" s="598">
        <f>IF(A56&lt;=$F$3,N37,0)</f>
        <v>0</v>
      </c>
      <c r="F63" s="634"/>
      <c r="G63" s="598"/>
      <c r="H63" s="677">
        <v>3</v>
      </c>
      <c r="I63" s="598"/>
      <c r="J63" s="598"/>
      <c r="K63" s="676"/>
      <c r="L63" s="634">
        <f>IF(A56&lt;=$F$3,C63+F63-I63,0)</f>
        <v>0</v>
      </c>
      <c r="M63" s="598">
        <f>IF(A56&lt;=$F$3,D63+G63-J63,0)</f>
        <v>0</v>
      </c>
      <c r="N63" s="598">
        <f>IF(A56&lt;=$F$3,E63+H63-K63,0)</f>
        <v>3</v>
      </c>
      <c r="O63" s="635">
        <f>IF(A56&lt;=$F$3,F63*Q63+G63*R63+H63*S63,0)</f>
        <v>793440.34909090912</v>
      </c>
      <c r="P63" s="636">
        <f>IF(A56&lt;=$F$3,I63*Q63+J63*R63+K63*S63,0)</f>
        <v>0</v>
      </c>
      <c r="Q63" s="637">
        <f t="shared" si="35"/>
        <v>181536.36363636365</v>
      </c>
      <c r="R63" s="638">
        <f t="shared" si="35"/>
        <v>250869.20727272728</v>
      </c>
      <c r="S63" s="639">
        <f t="shared" si="35"/>
        <v>264480.11636363639</v>
      </c>
      <c r="T63" s="637">
        <f>L63*$AH$6*AD$17</f>
        <v>0</v>
      </c>
      <c r="U63" s="640" t="e">
        <f>$AH$6*(1-AE$16)*((1+HLOOKUP($A$56,FC_Premissas!$D$5:$W$16,14,FALSE)^0.0833-1))*L63*12</f>
        <v>#REF!</v>
      </c>
      <c r="V63" s="638">
        <f>M63*$AP$6*AL$17</f>
        <v>0</v>
      </c>
      <c r="W63" s="640" t="e">
        <f>$AP$6*(1-AM$16)*((1+HLOOKUP($A$56,FC_Premissas!$D$5:$W$16,14,FALSE))^0.0833-1)*M63*12</f>
        <v>#REF!</v>
      </c>
      <c r="X63" s="637">
        <f>N63*$AX$6*AT$17</f>
        <v>179519.95636363636</v>
      </c>
      <c r="Y63" s="640" t="e">
        <f>$AX$6*(1-AU$16)*((1+HLOOKUP($A$56,FC_Premissas!$D$5:$W$16,14,FALSE))^0.0833-1)*N63*12</f>
        <v>#REF!</v>
      </c>
      <c r="Z63" s="638">
        <f t="shared" si="36"/>
        <v>179519.95636363636</v>
      </c>
      <c r="AA63" s="640" t="e">
        <f t="shared" si="36"/>
        <v>#REF!</v>
      </c>
      <c r="AB63" s="641"/>
    </row>
    <row r="64" spans="1:28" x14ac:dyDescent="0.2">
      <c r="A64" s="984"/>
      <c r="B64" s="633">
        <v>6</v>
      </c>
      <c r="C64" s="634">
        <f>IF(A56&lt;=$F$3,L38,0)</f>
        <v>0</v>
      </c>
      <c r="D64" s="598">
        <f>IF(A56&lt;=$F$3,M38,0)</f>
        <v>0</v>
      </c>
      <c r="E64" s="598">
        <f>IF(A56&lt;=$F$3,N38,0)</f>
        <v>0</v>
      </c>
      <c r="F64" s="634"/>
      <c r="G64" s="598"/>
      <c r="H64" s="650"/>
      <c r="I64" s="598"/>
      <c r="J64" s="598"/>
      <c r="K64" s="676"/>
      <c r="L64" s="634">
        <f>IF(A56&lt;=$F$3,C64+F64-I64,0)</f>
        <v>0</v>
      </c>
      <c r="M64" s="598">
        <f>IF(A56&lt;=$F$3,D64+G64-J64,0)</f>
        <v>0</v>
      </c>
      <c r="N64" s="598">
        <f>IF(A56&lt;=$F$3,E64+H64-K64,0)</f>
        <v>0</v>
      </c>
      <c r="O64" s="635">
        <f>IF(A56&lt;=$F$3,F64*Q64+G64*R64+H64*S64,0)</f>
        <v>0</v>
      </c>
      <c r="P64" s="636">
        <f>IF(A56&lt;=$F$3,I64*Q64+J64*R64+K64*S64,0)</f>
        <v>0</v>
      </c>
      <c r="Q64" s="637">
        <f t="shared" si="35"/>
        <v>138540.90909090912</v>
      </c>
      <c r="R64" s="638">
        <f t="shared" si="35"/>
        <v>194252.85818181818</v>
      </c>
      <c r="S64" s="639">
        <f t="shared" si="35"/>
        <v>204640.13090909092</v>
      </c>
      <c r="T64" s="637">
        <f>L64*$AH$6*AD$18</f>
        <v>0</v>
      </c>
      <c r="U64" s="640" t="e">
        <f>$AH$6*(1-AE$17)*((1+HLOOKUP($A$56,FC_Premissas!$D$5:$W$16,14,FALSE)^0.0833-1))*L64*12</f>
        <v>#REF!</v>
      </c>
      <c r="V64" s="638">
        <f>M64*$AP$6*AL$18</f>
        <v>0</v>
      </c>
      <c r="W64" s="640" t="e">
        <f>$AP$6*(1-AM$17)*((1+HLOOKUP($A$56,FC_Premissas!$D$5:$W$16,14,FALSE))^0.0833-1)*M64*12</f>
        <v>#REF!</v>
      </c>
      <c r="X64" s="637">
        <f>N64*$AX$6*AT$18</f>
        <v>0</v>
      </c>
      <c r="Y64" s="640" t="e">
        <f>$AX$6*(1-AU$17)*((1+HLOOKUP($A$56,FC_Premissas!$D$5:$W$16,14,FALSE))^0.0833-1)*N64*12</f>
        <v>#REF!</v>
      </c>
      <c r="Z64" s="638">
        <f t="shared" si="36"/>
        <v>0</v>
      </c>
      <c r="AA64" s="640" t="e">
        <f t="shared" si="36"/>
        <v>#REF!</v>
      </c>
      <c r="AB64" s="641"/>
    </row>
    <row r="65" spans="1:28" x14ac:dyDescent="0.2">
      <c r="A65" s="984"/>
      <c r="B65" s="633">
        <v>7</v>
      </c>
      <c r="C65" s="634">
        <f>IF(A56&lt;=$F$3,L39,0)</f>
        <v>0</v>
      </c>
      <c r="D65" s="598">
        <f>IF(A56&lt;=$F$3,M39,0)</f>
        <v>0</v>
      </c>
      <c r="E65" s="598">
        <f>IF(A56&lt;=$F$3,N39,0)</f>
        <v>4</v>
      </c>
      <c r="F65" s="634"/>
      <c r="G65" s="598"/>
      <c r="H65" s="650"/>
      <c r="I65" s="598"/>
      <c r="J65" s="598"/>
      <c r="K65" s="676"/>
      <c r="L65" s="634">
        <f>IF(A56&lt;=$F$3,C65+F65-I65,0)</f>
        <v>0</v>
      </c>
      <c r="M65" s="598">
        <f>IF(A56&lt;=$F$3,D65+G65-J65,0)</f>
        <v>0</v>
      </c>
      <c r="N65" s="598">
        <f>IF(A56&lt;=$F$3,E65+H65-K65,0)</f>
        <v>4</v>
      </c>
      <c r="O65" s="635">
        <f>IF(A56&lt;=$F$3,F65*Q65+G65*R65+H65*S65,0)</f>
        <v>0</v>
      </c>
      <c r="P65" s="636">
        <f>IF(A56&lt;=$F$3,I65*Q65+J65*R65+K65*S65,0)</f>
        <v>0</v>
      </c>
      <c r="Q65" s="637">
        <f t="shared" si="35"/>
        <v>104144.54545454548</v>
      </c>
      <c r="R65" s="638">
        <f t="shared" si="35"/>
        <v>148959.77890909094</v>
      </c>
      <c r="S65" s="639">
        <f t="shared" si="35"/>
        <v>156768.14254545458</v>
      </c>
      <c r="T65" s="637">
        <f>L65*$AH$6*AD$19</f>
        <v>0</v>
      </c>
      <c r="U65" s="640" t="e">
        <f>$AH$6*(1-AE$18)*((1+HLOOKUP($A$56,FC_Premissas!$D$5:$W$16,14,FALSE)^0.0833-1))*L65*12</f>
        <v>#REF!</v>
      </c>
      <c r="V65" s="638">
        <f>M65*$AP$6*AL$19</f>
        <v>0</v>
      </c>
      <c r="W65" s="640" t="e">
        <f>$AP$6*(1-AM$18)*((1+HLOOKUP($A$56,FC_Premissas!$D$5:$W$16,14,FALSE))^0.0833-1)*M65*12</f>
        <v>#REF!</v>
      </c>
      <c r="X65" s="637">
        <f>N65*$AX$6*AT$19</f>
        <v>143615.9650909091</v>
      </c>
      <c r="Y65" s="640" t="e">
        <f>$AX$6*(1-AU$18)*((1+HLOOKUP($A$56,FC_Premissas!$D$5:$W$16,14,FALSE))^0.0833-1)*N65*12</f>
        <v>#REF!</v>
      </c>
      <c r="Z65" s="638">
        <f t="shared" si="36"/>
        <v>143615.9650909091</v>
      </c>
      <c r="AA65" s="640" t="e">
        <f t="shared" si="36"/>
        <v>#REF!</v>
      </c>
      <c r="AB65" s="641"/>
    </row>
    <row r="66" spans="1:28" x14ac:dyDescent="0.2">
      <c r="A66" s="984"/>
      <c r="B66" s="633">
        <v>8</v>
      </c>
      <c r="C66" s="634">
        <f>IF(A56&lt;=$F$3,L40,0)</f>
        <v>0</v>
      </c>
      <c r="D66" s="598">
        <f>IF(A56&lt;=$F$3,M40,0)</f>
        <v>0</v>
      </c>
      <c r="E66" s="598">
        <f>IF(A56&lt;=$F$3,N40,0)</f>
        <v>0</v>
      </c>
      <c r="F66" s="634"/>
      <c r="G66" s="598"/>
      <c r="H66" s="650"/>
      <c r="I66" s="598"/>
      <c r="J66" s="598"/>
      <c r="K66" s="676"/>
      <c r="L66" s="634">
        <f>IF(A56&lt;=$F$3,C66+F66-I66,0)</f>
        <v>0</v>
      </c>
      <c r="M66" s="598">
        <f>IF(A56&lt;=$F$3,D66+G66-J66,0)</f>
        <v>0</v>
      </c>
      <c r="N66" s="598">
        <f>IF(A56&lt;=$F$3,E66+H66-K66,0)</f>
        <v>0</v>
      </c>
      <c r="O66" s="635">
        <f>IF(A56&lt;=$F$3,F66*Q66+G66*R66+H66*S66,0)</f>
        <v>0</v>
      </c>
      <c r="P66" s="636">
        <f>IF(A56&lt;=$F$3,I66*Q66+J66*R66+K66*S66,0)</f>
        <v>0</v>
      </c>
      <c r="Q66" s="637">
        <f t="shared" si="35"/>
        <v>78347.272727272764</v>
      </c>
      <c r="R66" s="638">
        <f t="shared" si="35"/>
        <v>114989.9694545455</v>
      </c>
      <c r="S66" s="639">
        <f t="shared" si="35"/>
        <v>120864.15127272732</v>
      </c>
      <c r="T66" s="637">
        <f>L66*$AH$6*AD$20</f>
        <v>0</v>
      </c>
      <c r="U66" s="640" t="e">
        <f>$AH$6*(1-AE$19)*((1+HLOOKUP($A$56,FC_Premissas!$D$5:$W$16,14,FALSE)^0.0833-1))*L66*12</f>
        <v>#REF!</v>
      </c>
      <c r="V66" s="638">
        <f>M66*$AP$6*AL$20</f>
        <v>0</v>
      </c>
      <c r="W66" s="640" t="e">
        <f>$AP$6*(1-AM$19)*((1+HLOOKUP($A$56,FC_Premissas!$D$5:$W$16,14,FALSE))^0.0833-1)*M66*12</f>
        <v>#REF!</v>
      </c>
      <c r="X66" s="637">
        <f>N66*$AX$6*AT$20</f>
        <v>0</v>
      </c>
      <c r="Y66" s="640" t="e">
        <f>$AX$6*(1-AU$19)*((1+HLOOKUP($A$56,FC_Premissas!$D$5:$W$16,14,FALSE))^0.0833-1)*N66*12</f>
        <v>#REF!</v>
      </c>
      <c r="Z66" s="638">
        <f t="shared" si="36"/>
        <v>0</v>
      </c>
      <c r="AA66" s="640" t="e">
        <f t="shared" si="36"/>
        <v>#REF!</v>
      </c>
      <c r="AB66" s="641"/>
    </row>
    <row r="67" spans="1:28" x14ac:dyDescent="0.2">
      <c r="A67" s="984"/>
      <c r="B67" s="633">
        <v>9</v>
      </c>
      <c r="C67" s="634">
        <f>IF(A56&lt;=$F$3,L41,0)</f>
        <v>0</v>
      </c>
      <c r="D67" s="598">
        <f>IF(A56&lt;=$F$3,M41,0)</f>
        <v>0</v>
      </c>
      <c r="E67" s="598">
        <f>IF(A56&lt;=$F$3,N41,0)</f>
        <v>3</v>
      </c>
      <c r="F67" s="634"/>
      <c r="G67" s="598"/>
      <c r="H67" s="650"/>
      <c r="I67" s="598"/>
      <c r="J67" s="598"/>
      <c r="K67" s="676"/>
      <c r="L67" s="634">
        <f>IF(A56&lt;=$F$3,C67+F67-I67,0)</f>
        <v>0</v>
      </c>
      <c r="M67" s="598">
        <f>IF(A56&lt;=$F$3,D67+G67-J67,0)</f>
        <v>0</v>
      </c>
      <c r="N67" s="598">
        <f>IF(A56&lt;=$F$3,E67+H67-K67,0)</f>
        <v>3</v>
      </c>
      <c r="O67" s="635">
        <f>IF(A56&lt;=$F$3,F67*Q67+G67*R67+H67*S67,0)</f>
        <v>0</v>
      </c>
      <c r="P67" s="636">
        <f>IF(A56&lt;=$F$3,I67*Q67+J67*R67+K67*S67,0)</f>
        <v>0</v>
      </c>
      <c r="Q67" s="637">
        <f t="shared" si="35"/>
        <v>61149.090909090955</v>
      </c>
      <c r="R67" s="638">
        <f t="shared" si="35"/>
        <v>92343.429818181874</v>
      </c>
      <c r="S67" s="639">
        <f t="shared" si="35"/>
        <v>96928.157090909139</v>
      </c>
      <c r="T67" s="637">
        <f>L67*$AH$6*AD$21</f>
        <v>0</v>
      </c>
      <c r="U67" s="640" t="e">
        <f>$AH$6*(1-AE$20)*((1+HLOOKUP($A$56,FC_Premissas!$D$5:$W$16,14,FALSE)^0.0833-1))*L67*12</f>
        <v>#REF!</v>
      </c>
      <c r="V67" s="638">
        <f>M67*$AP$6*AL$21</f>
        <v>0</v>
      </c>
      <c r="W67" s="640" t="e">
        <f>$AP$6*(1-AM$20)*((1+HLOOKUP($A$56,FC_Premissas!$D$5:$W$16,14,FALSE))^0.0833-1)*M67*12</f>
        <v>#REF!</v>
      </c>
      <c r="X67" s="637">
        <f>N67*$AX$6*AT$21</f>
        <v>35903.991272727275</v>
      </c>
      <c r="Y67" s="640" t="e">
        <f>$AX$6*(1-AU$20)*((1+HLOOKUP($A$56,FC_Premissas!$D$5:$W$16,14,FALSE))^0.0833-1)*N67*12</f>
        <v>#REF!</v>
      </c>
      <c r="Z67" s="638">
        <f t="shared" si="36"/>
        <v>35903.991272727275</v>
      </c>
      <c r="AA67" s="640" t="e">
        <f t="shared" si="36"/>
        <v>#REF!</v>
      </c>
      <c r="AB67" s="641"/>
    </row>
    <row r="68" spans="1:28" x14ac:dyDescent="0.2">
      <c r="A68" s="984"/>
      <c r="B68" s="633">
        <v>10</v>
      </c>
      <c r="C68" s="634">
        <f>IF(A56&lt;=$F$3,L42,0)</f>
        <v>0</v>
      </c>
      <c r="D68" s="598">
        <f>IF(A56&lt;=$F$3,M42,0)</f>
        <v>0</v>
      </c>
      <c r="E68" s="598">
        <f>IF(A56&lt;=$F$3,N42,0)</f>
        <v>0</v>
      </c>
      <c r="F68" s="634"/>
      <c r="G68" s="598"/>
      <c r="H68" s="650"/>
      <c r="I68" s="598"/>
      <c r="J68" s="598"/>
      <c r="K68" s="676"/>
      <c r="L68" s="634">
        <f>IF(A56&lt;=$F$3,C68+F68-I68,0)</f>
        <v>0</v>
      </c>
      <c r="M68" s="598">
        <f>IF(A56&lt;=$F$3,D68+G68-J68,0)</f>
        <v>0</v>
      </c>
      <c r="N68" s="598">
        <f>IF(A56&lt;=$F$3,E68+H68-K68,0)</f>
        <v>0</v>
      </c>
      <c r="O68" s="635">
        <f>IF(A56&lt;=$F$3,F68*Q68+G68*R68+H68*S68,0)</f>
        <v>0</v>
      </c>
      <c r="P68" s="636">
        <f>IF(A56&lt;=$F$3,I68*Q68+J68*R68+K68*S68,0)</f>
        <v>0</v>
      </c>
      <c r="Q68" s="637">
        <f t="shared" si="35"/>
        <v>52550.000000000044</v>
      </c>
      <c r="R68" s="638">
        <f t="shared" si="35"/>
        <v>81020.160000000062</v>
      </c>
      <c r="S68" s="639">
        <f t="shared" si="35"/>
        <v>84960.160000000062</v>
      </c>
      <c r="T68" s="637">
        <f>L68*$AH$6*AD$22</f>
        <v>0</v>
      </c>
      <c r="U68" s="640" t="e">
        <f>$AH$6*(1-AE$21)*((1+HLOOKUP($A$56,FC_Premissas!$D$5:$W$16,14,FALSE)^0.0833-1))*L68*12</f>
        <v>#REF!</v>
      </c>
      <c r="V68" s="638">
        <f>M68*$AP$6*AL$22</f>
        <v>0</v>
      </c>
      <c r="W68" s="640" t="e">
        <f>$AP$6*(1-AM$21)*((1+HLOOKUP($A$56,FC_Premissas!$D$5:$W$16,14,FALSE))^0.0833-1)*M68*12</f>
        <v>#REF!</v>
      </c>
      <c r="X68" s="637">
        <f>N68*$AX$6*AT$22</f>
        <v>0</v>
      </c>
      <c r="Y68" s="640" t="e">
        <f>$AX$6*(1-AU$21)*((1+HLOOKUP($A$56,FC_Premissas!$D$5:$W$16,14,FALSE))^0.0833-1)*N68*12</f>
        <v>#REF!</v>
      </c>
      <c r="Z68" s="638">
        <f t="shared" si="36"/>
        <v>0</v>
      </c>
      <c r="AA68" s="640" t="e">
        <f t="shared" si="36"/>
        <v>#REF!</v>
      </c>
      <c r="AB68" s="641"/>
    </row>
    <row r="69" spans="1:28" x14ac:dyDescent="0.2">
      <c r="A69" s="984"/>
      <c r="B69" s="633">
        <v>11</v>
      </c>
      <c r="C69" s="634">
        <f>IF(A56&lt;=$F$3,L43,0)</f>
        <v>0</v>
      </c>
      <c r="D69" s="598">
        <f>IF(A56&lt;=$F$3,M43,0)</f>
        <v>0</v>
      </c>
      <c r="E69" s="598">
        <f>IF(A56&lt;=$F$3,N43,0)</f>
        <v>4</v>
      </c>
      <c r="F69" s="634"/>
      <c r="G69" s="598"/>
      <c r="H69" s="650"/>
      <c r="I69" s="598"/>
      <c r="J69" s="598"/>
      <c r="K69" s="676">
        <v>3</v>
      </c>
      <c r="L69" s="634">
        <f>IF(A56&lt;=$F$3,C69+F69-I69,0)</f>
        <v>0</v>
      </c>
      <c r="M69" s="598">
        <f>IF(A56&lt;=$F$3,D69+G69-J69,0)</f>
        <v>0</v>
      </c>
      <c r="N69" s="598">
        <f>IF(A56&lt;=$F$3,E69+H69-K69,0)</f>
        <v>1</v>
      </c>
      <c r="O69" s="635">
        <f>IF(A56&lt;=$F$3,F69*Q69+G69*R69+H69*S69,0)</f>
        <v>0</v>
      </c>
      <c r="P69" s="636">
        <f>IF(A56&lt;=$F$3,I69*Q69+J69*R69+K69*S69,0)</f>
        <v>254880.48000000019</v>
      </c>
      <c r="Q69" s="637">
        <f t="shared" si="35"/>
        <v>52550.000000000044</v>
      </c>
      <c r="R69" s="638">
        <f t="shared" si="35"/>
        <v>81020.160000000062</v>
      </c>
      <c r="S69" s="639">
        <f t="shared" si="35"/>
        <v>84960.160000000062</v>
      </c>
      <c r="T69" s="637">
        <f>L69*$AH$6*AD$23</f>
        <v>0</v>
      </c>
      <c r="U69" s="640" t="e">
        <f>$AH$6*(1-AE$22)*((1+HLOOKUP($A$56,FC_Premissas!$D$5:$W$16,14,FALSE)^0.0833-1))*L69*12</f>
        <v>#REF!</v>
      </c>
      <c r="V69" s="638">
        <f>M69*$AP$6*AL$23</f>
        <v>0</v>
      </c>
      <c r="W69" s="640" t="e">
        <f>$AP$6*(1-AM$22)*((1+HLOOKUP($A$56,FC_Premissas!$D$5:$W$16,14,FALSE))^0.0833-1)*M69*12</f>
        <v>#REF!</v>
      </c>
      <c r="X69" s="637">
        <f>N69*$AX$6*AT$23</f>
        <v>0</v>
      </c>
      <c r="Y69" s="640" t="e">
        <f>$AX$6*(1-AU$22)*((1+HLOOKUP($A$56,FC_Premissas!$D$5:$W$16,14,FALSE))^0.0833-1)*N69*12</f>
        <v>#REF!</v>
      </c>
      <c r="Z69" s="638">
        <f t="shared" si="36"/>
        <v>0</v>
      </c>
      <c r="AA69" s="640" t="e">
        <f t="shared" si="36"/>
        <v>#REF!</v>
      </c>
      <c r="AB69" s="641"/>
    </row>
    <row r="70" spans="1:28" x14ac:dyDescent="0.2">
      <c r="A70" s="984"/>
      <c r="B70" s="633">
        <v>12</v>
      </c>
      <c r="C70" s="634">
        <f>IF(A56&lt;=$F$3,L44,0)</f>
        <v>0</v>
      </c>
      <c r="D70" s="598">
        <f>IF(A56&lt;=$F$3,M44,0)</f>
        <v>0</v>
      </c>
      <c r="E70" s="598">
        <f>IF(A56&lt;=$F$3,N44,0)</f>
        <v>0</v>
      </c>
      <c r="F70" s="634"/>
      <c r="G70" s="598"/>
      <c r="H70" s="650"/>
      <c r="I70" s="598"/>
      <c r="J70" s="598"/>
      <c r="K70" s="676"/>
      <c r="L70" s="634">
        <f>IF(A56&lt;=$F$3,C70+F70-I70,0)</f>
        <v>0</v>
      </c>
      <c r="M70" s="598">
        <f>IF(A56&lt;=$F$3,D70+G70-J70,0)</f>
        <v>0</v>
      </c>
      <c r="N70" s="598">
        <f>IF(A56&lt;=$F$3,E70+H70-K70,0)</f>
        <v>0</v>
      </c>
      <c r="O70" s="635">
        <f>IF(A56&lt;=$F$3,F70*Q70+G70*R70+H70*S70,0)</f>
        <v>0</v>
      </c>
      <c r="P70" s="636">
        <f>IF(A56&lt;=$F$3,I70*Q70+J70*R70+K70*S70,0)</f>
        <v>0</v>
      </c>
      <c r="Q70" s="637">
        <f t="shared" si="35"/>
        <v>52550.000000000044</v>
      </c>
      <c r="R70" s="638">
        <f t="shared" si="35"/>
        <v>81020.160000000062</v>
      </c>
      <c r="S70" s="639">
        <f t="shared" si="35"/>
        <v>84960.160000000062</v>
      </c>
      <c r="T70" s="637">
        <f>L70*$AH$6*AD$24</f>
        <v>0</v>
      </c>
      <c r="U70" s="640" t="e">
        <f>$AH$6*(1-AE$23)*((1+HLOOKUP($A$56,FC_Premissas!$D$5:$W$16,14,FALSE)^0.0833-1))*L70*12</f>
        <v>#REF!</v>
      </c>
      <c r="V70" s="638">
        <f>M70*$AP$6*AL$24</f>
        <v>0</v>
      </c>
      <c r="W70" s="640" t="e">
        <f>$AP$6*(1-AM$23)*((1+HLOOKUP($A$56,FC_Premissas!$D$5:$W$16,14,FALSE))^0.0833-1)*M70*12</f>
        <v>#REF!</v>
      </c>
      <c r="X70" s="637">
        <f>N70*$AX$6*AT$24</f>
        <v>0</v>
      </c>
      <c r="Y70" s="640" t="e">
        <f>$AX$6*(1-AU$23)*((1+HLOOKUP($A$56,FC_Premissas!$D$5:$W$16,14,FALSE))^0.0833-1)*N70*12</f>
        <v>#REF!</v>
      </c>
      <c r="Z70" s="638">
        <f t="shared" si="36"/>
        <v>0</v>
      </c>
      <c r="AA70" s="640" t="e">
        <f t="shared" si="36"/>
        <v>#REF!</v>
      </c>
      <c r="AB70" s="641"/>
    </row>
    <row r="71" spans="1:28" x14ac:dyDescent="0.2">
      <c r="A71" s="984"/>
      <c r="B71" s="633">
        <v>13</v>
      </c>
      <c r="C71" s="634">
        <f>IF(A56&lt;=$F$3,L45,0)</f>
        <v>0</v>
      </c>
      <c r="D71" s="598">
        <f>IF(A56&lt;=$F$3,M45,0)</f>
        <v>0</v>
      </c>
      <c r="E71" s="650">
        <f>IF(A56&lt;=$F$3,N45,0)</f>
        <v>0</v>
      </c>
      <c r="F71" s="634"/>
      <c r="G71" s="598"/>
      <c r="H71" s="598"/>
      <c r="I71" s="634"/>
      <c r="J71" s="598"/>
      <c r="K71" s="676"/>
      <c r="L71" s="634">
        <f>IF(A56&lt;=$F$3,C71+F71-I71,0)</f>
        <v>0</v>
      </c>
      <c r="M71" s="598">
        <f>IF(A56&lt;=$F$3,D71+G71-J71,0)</f>
        <v>0</v>
      </c>
      <c r="N71" s="598">
        <f>IF(A56&lt;=$F$3,E71+H71-K71,0)</f>
        <v>0</v>
      </c>
      <c r="O71" s="635">
        <f>IF(A56&lt;=$F$3,F71*Q71+G71*R71+H71*S71,0)</f>
        <v>0</v>
      </c>
      <c r="P71" s="636">
        <f>IF(A56&lt;=$F$3,I71*Q71+J71*R71+K71*S71,0)</f>
        <v>0</v>
      </c>
      <c r="Q71" s="637">
        <f t="shared" si="35"/>
        <v>52550.000000000044</v>
      </c>
      <c r="R71" s="638">
        <f t="shared" si="35"/>
        <v>81020.160000000062</v>
      </c>
      <c r="S71" s="639">
        <f t="shared" si="35"/>
        <v>84960.160000000062</v>
      </c>
      <c r="T71" s="637">
        <f>L71*$AH$6*AD$25</f>
        <v>0</v>
      </c>
      <c r="U71" s="640" t="e">
        <f>$AH$6*(1-AE$24)*((1+HLOOKUP($A$56,FC_Premissas!$D$5:$W$16,14,FALSE)^0.0833-1))*L71*12</f>
        <v>#REF!</v>
      </c>
      <c r="V71" s="638">
        <f>M71*$AP$6*AL$25</f>
        <v>0</v>
      </c>
      <c r="W71" s="640" t="e">
        <f>$AP$6*(1-AM$24)*((1+HLOOKUP($A$56,FC_Premissas!$D$5:$W$16,14,FALSE))^0.0833-1)*M71*12</f>
        <v>#REF!</v>
      </c>
      <c r="X71" s="637">
        <f>N71*$AX$6*AT$25</f>
        <v>0</v>
      </c>
      <c r="Y71" s="640" t="e">
        <f>$AX$6*(1-AU$24)*((1+HLOOKUP($A$56,FC_Premissas!$D$5:$W$16,14,FALSE))^0.0833-1)*N71*12</f>
        <v>#REF!</v>
      </c>
      <c r="Z71" s="638">
        <f t="shared" si="36"/>
        <v>0</v>
      </c>
      <c r="AA71" s="640" t="e">
        <f t="shared" si="36"/>
        <v>#REF!</v>
      </c>
      <c r="AB71" s="641"/>
    </row>
    <row r="72" spans="1:28" x14ac:dyDescent="0.2">
      <c r="A72" s="984"/>
      <c r="B72" s="633">
        <v>14</v>
      </c>
      <c r="C72" s="634">
        <f>IF(A56&lt;=$F$3,L46,0)</f>
        <v>0</v>
      </c>
      <c r="D72" s="598">
        <f>IF(A56&lt;=$F$3,M46,0)</f>
        <v>0</v>
      </c>
      <c r="E72" s="650">
        <f>IF(A56&lt;=$F$3,N46,0)</f>
        <v>0</v>
      </c>
      <c r="F72" s="634"/>
      <c r="G72" s="598"/>
      <c r="H72" s="598"/>
      <c r="I72" s="634"/>
      <c r="J72" s="598"/>
      <c r="K72" s="598"/>
      <c r="L72" s="634">
        <f>IF(A56&lt;=$F$3,C72+F72-I72,0)</f>
        <v>0</v>
      </c>
      <c r="M72" s="598">
        <f>IF(A56&lt;=$F$3,D72+G72-J72,0)</f>
        <v>0</v>
      </c>
      <c r="N72" s="598">
        <f>IF(A56&lt;=$F$3,E72+H72-K72,0)</f>
        <v>0</v>
      </c>
      <c r="O72" s="635">
        <f>IF(A56&lt;=$F$3,F72*Q72+G72*R72+H72*S72,0)</f>
        <v>0</v>
      </c>
      <c r="P72" s="636">
        <f>IF(A56&lt;=$F$3,I72*Q72+J72*R72+K72*S72,0)</f>
        <v>0</v>
      </c>
      <c r="Q72" s="637">
        <f t="shared" si="35"/>
        <v>52550.000000000044</v>
      </c>
      <c r="R72" s="638">
        <f t="shared" si="35"/>
        <v>81020.160000000062</v>
      </c>
      <c r="S72" s="639">
        <f t="shared" si="35"/>
        <v>84960.160000000062</v>
      </c>
      <c r="T72" s="637">
        <f>L72*$AH$6*AD$26</f>
        <v>0</v>
      </c>
      <c r="U72" s="640" t="e">
        <f>$AH$6*(1-AE$25)*((1+HLOOKUP($A$56,FC_Premissas!$D$5:$W$16,14,FALSE)^0.0833-1))*L72*12</f>
        <v>#REF!</v>
      </c>
      <c r="V72" s="638">
        <f>M72*$AP$6*AL$26</f>
        <v>0</v>
      </c>
      <c r="W72" s="640" t="e">
        <f>$AP$6*(1-AM$25)*((1+HLOOKUP($A$56,FC_Premissas!$D$5:$W$16,14,FALSE))^0.0833-1)*M72*12</f>
        <v>#REF!</v>
      </c>
      <c r="X72" s="637">
        <f>N72*$AX$6*AT$26</f>
        <v>0</v>
      </c>
      <c r="Y72" s="640" t="e">
        <f>$AX$6*(1-AU$25)*((1+HLOOKUP($A$56,FC_Premissas!$D$5:$W$16,14,FALSE))^0.0833-1)*N72*12</f>
        <v>#REF!</v>
      </c>
      <c r="Z72" s="638">
        <f t="shared" si="36"/>
        <v>0</v>
      </c>
      <c r="AA72" s="640" t="e">
        <f t="shared" si="36"/>
        <v>#REF!</v>
      </c>
      <c r="AB72" s="641"/>
    </row>
    <row r="73" spans="1:28" x14ac:dyDescent="0.2">
      <c r="A73" s="984"/>
      <c r="B73" s="633">
        <v>15</v>
      </c>
      <c r="C73" s="634">
        <f>IF(A56&lt;=$F$3,L47,0)</f>
        <v>0</v>
      </c>
      <c r="D73" s="598">
        <f>IF(A56&lt;=$F$3,M47,0)</f>
        <v>0</v>
      </c>
      <c r="E73" s="650">
        <f>IF(A56&lt;=$F$3,N47,0)</f>
        <v>0</v>
      </c>
      <c r="F73" s="634"/>
      <c r="G73" s="598"/>
      <c r="H73" s="598"/>
      <c r="I73" s="634"/>
      <c r="J73" s="598"/>
      <c r="K73" s="598"/>
      <c r="L73" s="634">
        <f>IF(A56&lt;=$F$3,C73+F73-I73,0)</f>
        <v>0</v>
      </c>
      <c r="M73" s="598">
        <f>IF(A56&lt;=$F$3,D73+G73-J73,0)</f>
        <v>0</v>
      </c>
      <c r="N73" s="598">
        <f>IF(A56&lt;=$F$3,E73+H73-K73,0)</f>
        <v>0</v>
      </c>
      <c r="O73" s="635">
        <f>IF(A56&lt;=$F$3,F73*Q73+G73*R73+H73*S73,0)</f>
        <v>0</v>
      </c>
      <c r="P73" s="636">
        <f>IF(A56&lt;=$F$3,I73*Q73+J73*R73+K73*S73,0)</f>
        <v>0</v>
      </c>
      <c r="Q73" s="637">
        <f t="shared" si="35"/>
        <v>52550.000000000044</v>
      </c>
      <c r="R73" s="638">
        <f t="shared" si="35"/>
        <v>81020.160000000062</v>
      </c>
      <c r="S73" s="639">
        <f t="shared" si="35"/>
        <v>84960.160000000062</v>
      </c>
      <c r="T73" s="637">
        <f t="shared" ref="T73:T78" si="37">L73*$AH$6*AD$27</f>
        <v>0</v>
      </c>
      <c r="U73" s="640" t="e">
        <f>$AH$6*(1-AE$26)*((1+HLOOKUP($A$56,FC_Premissas!$D$5:$W$16,14,FALSE)^0.0833-1))*L73*12</f>
        <v>#REF!</v>
      </c>
      <c r="V73" s="638">
        <f t="shared" ref="V73:V78" si="38">M73*$AP$6*AL$27</f>
        <v>0</v>
      </c>
      <c r="W73" s="640" t="e">
        <f>$AP$6*(1-AM$26)*((1+HLOOKUP($A$56,FC_Premissas!$D$5:$W$16,14,FALSE))^0.0833-1)*M73*12</f>
        <v>#REF!</v>
      </c>
      <c r="X73" s="637">
        <f t="shared" ref="X73:X78" si="39">N73*$AX$6*AT$27</f>
        <v>0</v>
      </c>
      <c r="Y73" s="640" t="e">
        <f>$AX$6*(1-AU$26)*((1+HLOOKUP($A$56,FC_Premissas!$D$5:$W$16,14,FALSE))^0.0833-1)*N73*12</f>
        <v>#REF!</v>
      </c>
      <c r="Z73" s="638">
        <f t="shared" si="36"/>
        <v>0</v>
      </c>
      <c r="AA73" s="640" t="e">
        <f t="shared" si="36"/>
        <v>#REF!</v>
      </c>
      <c r="AB73" s="641"/>
    </row>
    <row r="74" spans="1:28" x14ac:dyDescent="0.2">
      <c r="A74" s="984"/>
      <c r="B74" s="633">
        <v>16</v>
      </c>
      <c r="C74" s="634">
        <f>IF(A56&lt;=$F$3,L48,0)</f>
        <v>0</v>
      </c>
      <c r="D74" s="598">
        <f>IF(A56&lt;=$F$3,M48,0)</f>
        <v>0</v>
      </c>
      <c r="E74" s="650">
        <f>IF(A56&lt;=$F$3,N48,0)</f>
        <v>0</v>
      </c>
      <c r="F74" s="634"/>
      <c r="G74" s="598"/>
      <c r="H74" s="598"/>
      <c r="I74" s="634"/>
      <c r="J74" s="598"/>
      <c r="K74" s="598"/>
      <c r="L74" s="634">
        <f>IF(A56&lt;=$F$3,C74+F74-I74,0)</f>
        <v>0</v>
      </c>
      <c r="M74" s="598">
        <f>IF(A56&lt;=$F$3,D74+G74-J74,0)</f>
        <v>0</v>
      </c>
      <c r="N74" s="598">
        <f>IF(A56&lt;=$F$3,E74+H74-K74,0)</f>
        <v>0</v>
      </c>
      <c r="O74" s="635">
        <f>IF(A56&lt;=$F$3,F74*Q74+G74*R74+H74*S74,0)</f>
        <v>0</v>
      </c>
      <c r="P74" s="636">
        <f>IF(A56&lt;=$F$3,I74*Q74+J74*R74+K74*S74,0)</f>
        <v>0</v>
      </c>
      <c r="Q74" s="637">
        <f t="shared" ref="Q74:S78" si="40">Q49</f>
        <v>52550.000000000044</v>
      </c>
      <c r="R74" s="638">
        <f t="shared" si="40"/>
        <v>81020.160000000062</v>
      </c>
      <c r="S74" s="639">
        <f t="shared" si="40"/>
        <v>84960.160000000062</v>
      </c>
      <c r="T74" s="637">
        <f t="shared" si="37"/>
        <v>0</v>
      </c>
      <c r="U74" s="640" t="e">
        <f>$AH$6*(1-AE$27)*((1+HLOOKUP($A$56,FC_Premissas!$D$5:$W$16,14,FALSE)^0.0833-1))*L74*12</f>
        <v>#REF!</v>
      </c>
      <c r="V74" s="638">
        <f t="shared" si="38"/>
        <v>0</v>
      </c>
      <c r="W74" s="640" t="e">
        <f>$AP$6*(1-AM$27)*((1+HLOOKUP($A$56,FC_Premissas!$D$5:$W$16,14,FALSE))^0.0833-1)*M74*12</f>
        <v>#REF!</v>
      </c>
      <c r="X74" s="637">
        <f t="shared" si="39"/>
        <v>0</v>
      </c>
      <c r="Y74" s="640" t="e">
        <f>$AX$6*(1-AU$27)*((1+HLOOKUP($A$56,FC_Premissas!$D$5:$W$16,14,FALSE))^0.0833-1)*N74*12</f>
        <v>#REF!</v>
      </c>
      <c r="Z74" s="638">
        <f t="shared" si="36"/>
        <v>0</v>
      </c>
      <c r="AA74" s="640" t="e">
        <f t="shared" si="36"/>
        <v>#REF!</v>
      </c>
      <c r="AB74" s="641"/>
    </row>
    <row r="75" spans="1:28" x14ac:dyDescent="0.2">
      <c r="A75" s="984"/>
      <c r="B75" s="633">
        <v>17</v>
      </c>
      <c r="C75" s="634">
        <f>IF(A56&lt;=$F$3,L49,0)</f>
        <v>0</v>
      </c>
      <c r="D75" s="598">
        <f>IF(A56&lt;=$F$3,M49,0)</f>
        <v>0</v>
      </c>
      <c r="E75" s="650">
        <f>IF(A56&lt;=$F$3,N49,0)</f>
        <v>0</v>
      </c>
      <c r="F75" s="634"/>
      <c r="G75" s="598"/>
      <c r="H75" s="598"/>
      <c r="I75" s="634"/>
      <c r="J75" s="598"/>
      <c r="K75" s="598"/>
      <c r="L75" s="634">
        <f>IF(A56&lt;=$F$3,C75+F75-I75,0)</f>
        <v>0</v>
      </c>
      <c r="M75" s="598">
        <f>IF(A56&lt;=$F$3,D75+G75-J75,0)</f>
        <v>0</v>
      </c>
      <c r="N75" s="598">
        <f>IF(A56&lt;=$F$3,E75+H75-K75,0)</f>
        <v>0</v>
      </c>
      <c r="O75" s="635">
        <f>IF(A56&lt;=$F$3,F75*Q75+G75*R75+H75*S75,0)</f>
        <v>0</v>
      </c>
      <c r="P75" s="636">
        <f>IF(A56&lt;=$F$3,I75*Q75+J75*R75+K75*S75,0)</f>
        <v>0</v>
      </c>
      <c r="Q75" s="637">
        <f t="shared" si="40"/>
        <v>52550.000000000044</v>
      </c>
      <c r="R75" s="638">
        <f t="shared" si="40"/>
        <v>81020.160000000062</v>
      </c>
      <c r="S75" s="639">
        <f t="shared" si="40"/>
        <v>84960.160000000062</v>
      </c>
      <c r="T75" s="637">
        <f t="shared" si="37"/>
        <v>0</v>
      </c>
      <c r="U75" s="640" t="e">
        <f>$AH$6*(1-AE$28)*((1+HLOOKUP($A$56,FC_Premissas!$D$5:$W$16,14,FALSE)^0.0833-1))*L75*12</f>
        <v>#REF!</v>
      </c>
      <c r="V75" s="638">
        <f t="shared" si="38"/>
        <v>0</v>
      </c>
      <c r="W75" s="640" t="e">
        <f>$AP$6*(1-AM$28)*((1+HLOOKUP($A$56,FC_Premissas!$D$5:$W$16,14,FALSE))^0.0833-1)*M75*12</f>
        <v>#REF!</v>
      </c>
      <c r="X75" s="637">
        <f t="shared" si="39"/>
        <v>0</v>
      </c>
      <c r="Y75" s="640" t="e">
        <f>$AX$6*(1-AU$28)*((1+HLOOKUP($A$56,FC_Premissas!$D$5:$W$16,14,FALSE))^0.0833-1)*N75*12</f>
        <v>#REF!</v>
      </c>
      <c r="Z75" s="638">
        <f t="shared" si="36"/>
        <v>0</v>
      </c>
      <c r="AA75" s="640" t="e">
        <f t="shared" si="36"/>
        <v>#REF!</v>
      </c>
      <c r="AB75" s="641"/>
    </row>
    <row r="76" spans="1:28" x14ac:dyDescent="0.2">
      <c r="A76" s="984"/>
      <c r="B76" s="633">
        <v>18</v>
      </c>
      <c r="C76" s="634">
        <f>IF(A56&lt;=$F$3,L50,0)</f>
        <v>0</v>
      </c>
      <c r="D76" s="598">
        <f>IF(A56&lt;=$F$3,M50,0)</f>
        <v>0</v>
      </c>
      <c r="E76" s="650">
        <f>IF(A56&lt;=$F$3,N50,0)</f>
        <v>0</v>
      </c>
      <c r="F76" s="634"/>
      <c r="G76" s="598"/>
      <c r="H76" s="598"/>
      <c r="I76" s="634"/>
      <c r="J76" s="598"/>
      <c r="K76" s="598"/>
      <c r="L76" s="634">
        <f>IF(A56&lt;=$F$3,C76+F76-I76,0)</f>
        <v>0</v>
      </c>
      <c r="M76" s="598">
        <f>IF(A56&lt;=$F$3,D76+G76-J76,0)</f>
        <v>0</v>
      </c>
      <c r="N76" s="598">
        <f>IF(A56&lt;=$F$3,E76+H76-K76,0)</f>
        <v>0</v>
      </c>
      <c r="O76" s="635">
        <f>IF(A56&lt;=$F$3,F76*Q76+G76*R76+H76*S76,0)</f>
        <v>0</v>
      </c>
      <c r="P76" s="636">
        <f>IF(A56&lt;=$F$3,I76*Q76+J76*R76+K76*S76,0)</f>
        <v>0</v>
      </c>
      <c r="Q76" s="637">
        <f t="shared" si="40"/>
        <v>52550.000000000044</v>
      </c>
      <c r="R76" s="638">
        <f t="shared" si="40"/>
        <v>81020.160000000062</v>
      </c>
      <c r="S76" s="639">
        <f t="shared" si="40"/>
        <v>84960.160000000062</v>
      </c>
      <c r="T76" s="637">
        <f t="shared" si="37"/>
        <v>0</v>
      </c>
      <c r="U76" s="640" t="e">
        <f>$AH$6*(1-AE$29)*((1+HLOOKUP($A$56,FC_Premissas!$D$5:$W$16,14,FALSE)^0.0833-1))*L76*12</f>
        <v>#REF!</v>
      </c>
      <c r="V76" s="638">
        <f t="shared" si="38"/>
        <v>0</v>
      </c>
      <c r="W76" s="640" t="e">
        <f>$AP$6*(1-AM$29)*((1+HLOOKUP($A$56,FC_Premissas!$D$5:$W$16,14,FALSE))^0.0833-1)*M76*12</f>
        <v>#REF!</v>
      </c>
      <c r="X76" s="637">
        <f t="shared" si="39"/>
        <v>0</v>
      </c>
      <c r="Y76" s="640" t="e">
        <f>$AX$6*(1-AU$29)*((1+HLOOKUP($A$56,FC_Premissas!$D$5:$W$16,14,FALSE))^0.0833-1)*N76*12</f>
        <v>#REF!</v>
      </c>
      <c r="Z76" s="638">
        <f t="shared" si="36"/>
        <v>0</v>
      </c>
      <c r="AA76" s="640" t="e">
        <f t="shared" si="36"/>
        <v>#REF!</v>
      </c>
      <c r="AB76" s="641"/>
    </row>
    <row r="77" spans="1:28" x14ac:dyDescent="0.2">
      <c r="A77" s="984"/>
      <c r="B77" s="633">
        <v>19</v>
      </c>
      <c r="C77" s="634">
        <f>IF(A56&lt;=$F$3,L51,0)</f>
        <v>0</v>
      </c>
      <c r="D77" s="598">
        <f>IF(A56&lt;=$F$3,M51,0)</f>
        <v>0</v>
      </c>
      <c r="E77" s="650">
        <f>IF(A56&lt;=$F$3,N51,0)</f>
        <v>0</v>
      </c>
      <c r="F77" s="634"/>
      <c r="G77" s="598"/>
      <c r="H77" s="598"/>
      <c r="I77" s="634"/>
      <c r="J77" s="598"/>
      <c r="K77" s="598"/>
      <c r="L77" s="634">
        <f>IF(A56&lt;=$F$3,C77+F77-I77,0)</f>
        <v>0</v>
      </c>
      <c r="M77" s="598">
        <f>IF(A56&lt;=$F$3,D77+G77-J77,0)</f>
        <v>0</v>
      </c>
      <c r="N77" s="598">
        <f>IF(A56&lt;=$F$3,E77+H77-K77,0)</f>
        <v>0</v>
      </c>
      <c r="O77" s="635">
        <f>IF(A56&lt;=$F$3,F77*Q77+G77*R77+H77*S77,0)</f>
        <v>0</v>
      </c>
      <c r="P77" s="636">
        <f>IF(A56&lt;=$F$3,I77*Q77+J77*R77+K77*S77,0)</f>
        <v>0</v>
      </c>
      <c r="Q77" s="637">
        <f t="shared" si="40"/>
        <v>52550.000000000044</v>
      </c>
      <c r="R77" s="638">
        <f t="shared" si="40"/>
        <v>81020.160000000062</v>
      </c>
      <c r="S77" s="639">
        <f t="shared" si="40"/>
        <v>84960.160000000062</v>
      </c>
      <c r="T77" s="637">
        <f t="shared" si="37"/>
        <v>0</v>
      </c>
      <c r="U77" s="640" t="e">
        <f>$AH$6*(1-AE$30)*((1+HLOOKUP($A$56,FC_Premissas!$D$5:$W$16,14,FALSE)^0.0833-1))*L77*12</f>
        <v>#REF!</v>
      </c>
      <c r="V77" s="638">
        <f t="shared" si="38"/>
        <v>0</v>
      </c>
      <c r="W77" s="640" t="e">
        <f>$AP$6*(1-AM$30)*((1+HLOOKUP($A$56,FC_Premissas!$D$5:$W$16,14,FALSE))^0.0833-1)*M77*12</f>
        <v>#REF!</v>
      </c>
      <c r="X77" s="637">
        <f t="shared" si="39"/>
        <v>0</v>
      </c>
      <c r="Y77" s="640" t="e">
        <f>$AX$6*(1-AU$30)*((1+HLOOKUP($A$56,FC_Premissas!$D$5:$W$16,14,FALSE))^0.0833-1)*N77*12</f>
        <v>#REF!</v>
      </c>
      <c r="Z77" s="638">
        <f t="shared" si="36"/>
        <v>0</v>
      </c>
      <c r="AA77" s="640" t="e">
        <f t="shared" si="36"/>
        <v>#REF!</v>
      </c>
      <c r="AB77" s="641"/>
    </row>
    <row r="78" spans="1:28" x14ac:dyDescent="0.2">
      <c r="A78" s="984"/>
      <c r="B78" s="633">
        <v>20</v>
      </c>
      <c r="C78" s="616">
        <f>IF(A56&lt;=$F$3,L52,0)</f>
        <v>0</v>
      </c>
      <c r="D78" s="617">
        <f>IF(A56&lt;=$F$3,M52,0)</f>
        <v>0</v>
      </c>
      <c r="E78" s="650">
        <f>IF(A56&lt;=$F$3,N52,0)</f>
        <v>0</v>
      </c>
      <c r="F78" s="616"/>
      <c r="G78" s="617"/>
      <c r="H78" s="598"/>
      <c r="I78" s="616"/>
      <c r="J78" s="617"/>
      <c r="K78" s="598"/>
      <c r="L78" s="616">
        <f>IF(A56&lt;=$F$3,C78+F78-I78,0)</f>
        <v>0</v>
      </c>
      <c r="M78" s="617">
        <f>IF(A56&lt;=$F$3,D78+G78-J78,0)</f>
        <v>0</v>
      </c>
      <c r="N78" s="598">
        <f>IF(A56&lt;=$F$3,E78+H78-K78,0)</f>
        <v>0</v>
      </c>
      <c r="O78" s="635">
        <f>IF(A56&lt;=$F$3,F78*Q78+G78*R78+H78*S78,0)</f>
        <v>0</v>
      </c>
      <c r="P78" s="636">
        <f>IF(A56&lt;=$F$3,I78*Q78+J78*R78+K78*S78,0)</f>
        <v>0</v>
      </c>
      <c r="Q78" s="651">
        <f t="shared" si="40"/>
        <v>52550.000000000044</v>
      </c>
      <c r="R78" s="652">
        <f t="shared" si="40"/>
        <v>81020.160000000062</v>
      </c>
      <c r="S78" s="653">
        <f t="shared" si="40"/>
        <v>84960.160000000062</v>
      </c>
      <c r="T78" s="651">
        <f t="shared" si="37"/>
        <v>0</v>
      </c>
      <c r="U78" s="654" t="e">
        <f>$AH$6*(1-AE$31)*((1+HLOOKUP($A$56,FC_Premissas!$D$5:$W$16,14,FALSE)^0.0833-1))*L78*12</f>
        <v>#REF!</v>
      </c>
      <c r="V78" s="652">
        <f t="shared" si="38"/>
        <v>0</v>
      </c>
      <c r="W78" s="640" t="e">
        <f>$AP$6*(1-AM$31)*((1+HLOOKUP($A$56,FC_Premissas!$D$5:$W$16,14,FALSE))^0.0833-1)*M78*12</f>
        <v>#REF!</v>
      </c>
      <c r="X78" s="651">
        <f t="shared" si="39"/>
        <v>0</v>
      </c>
      <c r="Y78" s="654" t="e">
        <f>$AX$6*(1-AU$31)*((1+HLOOKUP($A$56,FC_Premissas!$D$5:$W$16,14,FALSE))^0.0833-1)*N78*12</f>
        <v>#REF!</v>
      </c>
      <c r="Z78" s="652">
        <f t="shared" si="36"/>
        <v>0</v>
      </c>
      <c r="AA78" s="654" t="e">
        <f t="shared" si="36"/>
        <v>#REF!</v>
      </c>
      <c r="AB78" s="641"/>
    </row>
    <row r="79" spans="1:28" x14ac:dyDescent="0.2">
      <c r="A79" s="984"/>
      <c r="B79" s="655" t="s">
        <v>1228</v>
      </c>
      <c r="C79" s="656">
        <f t="shared" ref="C79:P79" si="41">SUM(C58:C78)</f>
        <v>0</v>
      </c>
      <c r="D79" s="657">
        <f t="shared" si="41"/>
        <v>0</v>
      </c>
      <c r="E79" s="658">
        <f t="shared" si="41"/>
        <v>11</v>
      </c>
      <c r="F79" s="656">
        <f t="shared" si="41"/>
        <v>0</v>
      </c>
      <c r="G79" s="657">
        <f t="shared" si="41"/>
        <v>0</v>
      </c>
      <c r="H79" s="658">
        <f t="shared" si="41"/>
        <v>3</v>
      </c>
      <c r="I79" s="656">
        <f t="shared" si="41"/>
        <v>0</v>
      </c>
      <c r="J79" s="657">
        <f t="shared" si="41"/>
        <v>0</v>
      </c>
      <c r="K79" s="658">
        <f t="shared" si="41"/>
        <v>3</v>
      </c>
      <c r="L79" s="656">
        <f t="shared" si="41"/>
        <v>0</v>
      </c>
      <c r="M79" s="657">
        <f t="shared" si="41"/>
        <v>0</v>
      </c>
      <c r="N79" s="657">
        <f t="shared" si="41"/>
        <v>11</v>
      </c>
      <c r="O79" s="659">
        <f t="shared" si="41"/>
        <v>793440.34909090912</v>
      </c>
      <c r="P79" s="660">
        <f t="shared" si="41"/>
        <v>254880.48000000019</v>
      </c>
      <c r="Q79" s="638"/>
      <c r="R79" s="638"/>
      <c r="S79" s="638"/>
      <c r="T79" s="661">
        <f t="shared" ref="T79:AA79" si="42">SUM(T58:T78)</f>
        <v>0</v>
      </c>
      <c r="U79" s="662" t="e">
        <f t="shared" si="42"/>
        <v>#REF!</v>
      </c>
      <c r="V79" s="663">
        <f t="shared" si="42"/>
        <v>0</v>
      </c>
      <c r="W79" s="662" t="e">
        <f t="shared" si="42"/>
        <v>#REF!</v>
      </c>
      <c r="X79" s="663">
        <f t="shared" si="42"/>
        <v>359039.91272727272</v>
      </c>
      <c r="Y79" s="662" t="e">
        <f t="shared" si="42"/>
        <v>#REF!</v>
      </c>
      <c r="Z79" s="663">
        <f t="shared" si="42"/>
        <v>359039.91272727272</v>
      </c>
      <c r="AA79" s="664" t="e">
        <f t="shared" si="42"/>
        <v>#REF!</v>
      </c>
      <c r="AB79" s="641"/>
    </row>
    <row r="80" spans="1:28" x14ac:dyDescent="0.2">
      <c r="A80" s="985"/>
      <c r="B80" s="977" t="s">
        <v>1229</v>
      </c>
      <c r="C80" s="977"/>
      <c r="D80" s="977"/>
      <c r="E80" s="666">
        <f>(L80*L79+M80*M79+N80*N79)/(L79+M79+N79)</f>
        <v>7</v>
      </c>
      <c r="F80" s="665" t="s">
        <v>140</v>
      </c>
      <c r="G80" s="665"/>
      <c r="H80" s="665"/>
      <c r="I80" s="665"/>
      <c r="J80" s="665"/>
      <c r="K80" s="665"/>
      <c r="L80" s="887">
        <f>IF(L79=0,0,(SUMPRODUCT(L58:L78,$B58:$B78)/L79))</f>
        <v>0</v>
      </c>
      <c r="M80" s="887">
        <f>IF(M79=0,0,(SUMPRODUCT(M58:M78,$B58:$B78)/M79))</f>
        <v>0</v>
      </c>
      <c r="N80" s="887">
        <f>IF(N79=0,0,ROUND(SUMPRODUCT(N58:N78,$B58:$B78)/N79,0))</f>
        <v>7</v>
      </c>
      <c r="O80" s="667"/>
      <c r="P80" s="668"/>
      <c r="Q80" s="638"/>
      <c r="R80" s="638"/>
      <c r="S80" s="638"/>
      <c r="T80" s="638"/>
      <c r="U80" s="669"/>
      <c r="V80" s="638"/>
      <c r="W80" s="669"/>
      <c r="X80" s="638"/>
      <c r="Y80" s="669"/>
      <c r="Z80" s="638"/>
      <c r="AA80" s="669"/>
    </row>
    <row r="81" spans="1:28" ht="12.75" customHeight="1" x14ac:dyDescent="0.2">
      <c r="A81" s="983">
        <f>A56+1</f>
        <v>4</v>
      </c>
      <c r="B81" s="986" t="s">
        <v>1077</v>
      </c>
      <c r="C81" s="988" t="s">
        <v>1202</v>
      </c>
      <c r="D81" s="989"/>
      <c r="E81" s="990"/>
      <c r="F81" s="991" t="s">
        <v>1203</v>
      </c>
      <c r="G81" s="992"/>
      <c r="H81" s="993"/>
      <c r="I81" s="991" t="s">
        <v>1204</v>
      </c>
      <c r="J81" s="992"/>
      <c r="K81" s="993"/>
      <c r="L81" s="991" t="s">
        <v>1205</v>
      </c>
      <c r="M81" s="992"/>
      <c r="N81" s="992"/>
      <c r="O81" s="978" t="s">
        <v>1206</v>
      </c>
      <c r="P81" s="979"/>
      <c r="Q81" s="980" t="s">
        <v>1207</v>
      </c>
      <c r="R81" s="981"/>
      <c r="S81" s="982"/>
      <c r="T81" s="607" t="s">
        <v>1208</v>
      </c>
      <c r="U81" s="609" t="s">
        <v>1209</v>
      </c>
      <c r="V81" s="608" t="s">
        <v>1210</v>
      </c>
      <c r="W81" s="610" t="s">
        <v>1211</v>
      </c>
      <c r="X81" s="607" t="s">
        <v>1210</v>
      </c>
      <c r="Y81" s="609" t="s">
        <v>1211</v>
      </c>
      <c r="Z81" s="607" t="s">
        <v>1210</v>
      </c>
      <c r="AA81" s="609" t="s">
        <v>1211</v>
      </c>
    </row>
    <row r="82" spans="1:28" x14ac:dyDescent="0.2">
      <c r="A82" s="984"/>
      <c r="B82" s="987"/>
      <c r="C82" s="616" t="str">
        <f>$C$7</f>
        <v>Mini</v>
      </c>
      <c r="D82" s="617" t="str">
        <f>$D$7</f>
        <v>Midi</v>
      </c>
      <c r="E82" s="617" t="str">
        <f>$E$7</f>
        <v>Básico</v>
      </c>
      <c r="F82" s="616" t="str">
        <f>$C$7</f>
        <v>Mini</v>
      </c>
      <c r="G82" s="617" t="str">
        <f>$D$7</f>
        <v>Midi</v>
      </c>
      <c r="H82" s="617" t="str">
        <f>$E$7</f>
        <v>Básico</v>
      </c>
      <c r="I82" s="616" t="str">
        <f>$C$7</f>
        <v>Mini</v>
      </c>
      <c r="J82" s="617" t="str">
        <f>$D$7</f>
        <v>Midi</v>
      </c>
      <c r="K82" s="617" t="str">
        <f>$E$7</f>
        <v>Básico</v>
      </c>
      <c r="L82" s="616" t="str">
        <f>$C$7</f>
        <v>Mini</v>
      </c>
      <c r="M82" s="617" t="str">
        <f>$D$7</f>
        <v>Midi</v>
      </c>
      <c r="N82" s="617" t="str">
        <f>$E$7</f>
        <v>Básico</v>
      </c>
      <c r="O82" s="667" t="s">
        <v>1203</v>
      </c>
      <c r="P82" s="668" t="s">
        <v>1204</v>
      </c>
      <c r="Q82" s="620" t="str">
        <f>C82</f>
        <v>Mini</v>
      </c>
      <c r="R82" s="621" t="str">
        <f>D82</f>
        <v>Midi</v>
      </c>
      <c r="S82" s="622" t="str">
        <f>E82</f>
        <v>Básico</v>
      </c>
      <c r="T82" s="623" t="str">
        <f>C82</f>
        <v>Mini</v>
      </c>
      <c r="U82" s="624" t="str">
        <f>C82</f>
        <v>Mini</v>
      </c>
      <c r="V82" s="625" t="str">
        <f>D82</f>
        <v>Midi</v>
      </c>
      <c r="W82" s="626" t="str">
        <f>D82</f>
        <v>Midi</v>
      </c>
      <c r="X82" s="623" t="str">
        <f>E82</f>
        <v>Básico</v>
      </c>
      <c r="Y82" s="624" t="str">
        <f>E82</f>
        <v>Básico</v>
      </c>
      <c r="Z82" s="627" t="s">
        <v>1218</v>
      </c>
      <c r="AA82" s="628" t="s">
        <v>1218</v>
      </c>
    </row>
    <row r="83" spans="1:28" x14ac:dyDescent="0.2">
      <c r="A83" s="984"/>
      <c r="B83" s="633">
        <v>0</v>
      </c>
      <c r="C83" s="634">
        <v>0</v>
      </c>
      <c r="F83" s="965"/>
      <c r="G83" s="966"/>
      <c r="H83" s="675"/>
      <c r="I83" s="598"/>
      <c r="J83" s="598"/>
      <c r="K83" s="676"/>
      <c r="L83" s="634">
        <f>IF(A81&lt;=$F$3,C83+F83-I83,0)</f>
        <v>0</v>
      </c>
      <c r="M83" s="598">
        <f>IF(A81&lt;=$F$3,D83+G83-J83,0)</f>
        <v>0</v>
      </c>
      <c r="N83" s="598">
        <f>IF(A81&lt;=$F$3,E83+H83-K83,0)</f>
        <v>0</v>
      </c>
      <c r="O83" s="635">
        <f>IF(A81&lt;=$F$3,F83*Q83+G83*R83+H83*S83,0)</f>
        <v>0</v>
      </c>
      <c r="P83" s="636">
        <f>IF(A81&lt;=$F$3,I83*Q83+J83*R83+K83*S83,0)</f>
        <v>0</v>
      </c>
      <c r="Q83" s="637">
        <f t="shared" ref="Q83:S98" si="43">Q58</f>
        <v>525500</v>
      </c>
      <c r="R83" s="638">
        <f t="shared" si="43"/>
        <v>703800</v>
      </c>
      <c r="S83" s="639">
        <f t="shared" si="43"/>
        <v>743200</v>
      </c>
      <c r="T83" s="637">
        <f>L83*$AH$6*AD$12</f>
        <v>0</v>
      </c>
      <c r="U83" s="640" t="e">
        <f>$AH$6*(1-AE$11)*((1+HLOOKUP($A$81,FC_Premissas!$D$5:$W$16,14,FALSE)^0.0833-1))*L83*12</f>
        <v>#REF!</v>
      </c>
      <c r="V83" s="638">
        <f>M83*$AP$6*AL$12</f>
        <v>0</v>
      </c>
      <c r="W83" s="640" t="e">
        <f>$AP$6*(1-AM$11)*((1+HLOOKUP($A$81,FC_Premissas!$D$5:$W$16,14,FALSE)^0.0833-1))*M83*12</f>
        <v>#REF!</v>
      </c>
      <c r="X83" s="637">
        <f>N83*$AX$6*AT$12</f>
        <v>0</v>
      </c>
      <c r="Y83" s="640" t="e">
        <f>$AX$6*(1-AU$11)*((1+HLOOKUP($A$81,FC_Premissas!$D$5:$W$16,14,FALSE)^0.0833-1))*N83*12</f>
        <v>#REF!</v>
      </c>
      <c r="Z83" s="638">
        <f t="shared" ref="Z83:AA103" si="44">T83+V83+X83</f>
        <v>0</v>
      </c>
      <c r="AA83" s="640" t="e">
        <f t="shared" si="44"/>
        <v>#REF!</v>
      </c>
      <c r="AB83" s="641"/>
    </row>
    <row r="84" spans="1:28" x14ac:dyDescent="0.2">
      <c r="A84" s="984"/>
      <c r="B84" s="633">
        <v>1</v>
      </c>
      <c r="C84" s="634">
        <f>IF(A81&lt;=$F$3,L58,0)</f>
        <v>0</v>
      </c>
      <c r="D84" s="598">
        <f>IF(A81&lt;=$F$3,M58,0)</f>
        <v>0</v>
      </c>
      <c r="E84" s="598">
        <f>IF(A81&lt;=$F$3,N58,0)</f>
        <v>0</v>
      </c>
      <c r="F84" s="634"/>
      <c r="G84" s="598"/>
      <c r="H84" s="677"/>
      <c r="I84" s="598"/>
      <c r="J84" s="598"/>
      <c r="K84" s="676"/>
      <c r="L84" s="634">
        <f>IF(A81&lt;=$F$3,C84+F84-I84,0)</f>
        <v>0</v>
      </c>
      <c r="M84" s="598">
        <f>IF(A81&lt;=$F$3,D84+G84-J84,0)</f>
        <v>0</v>
      </c>
      <c r="N84" s="598">
        <f>IF(A81&lt;=$F$3,E84+H84-K84,0)</f>
        <v>0</v>
      </c>
      <c r="O84" s="635">
        <f>IF(A81&lt;=$F$3,F84*Q84+G84*R84+H84*S84,0)</f>
        <v>0</v>
      </c>
      <c r="P84" s="636">
        <f>IF(A81&lt;=$F$3,I84*Q84+J84*R84+K84*S84,0)</f>
        <v>0</v>
      </c>
      <c r="Q84" s="637">
        <f t="shared" si="43"/>
        <v>439509.09090909094</v>
      </c>
      <c r="R84" s="638">
        <f t="shared" si="43"/>
        <v>590567.30181818188</v>
      </c>
      <c r="S84" s="639">
        <f t="shared" si="43"/>
        <v>623520.02909090917</v>
      </c>
      <c r="T84" s="637">
        <f>L84*$AH$6*AD$13</f>
        <v>0</v>
      </c>
      <c r="U84" s="640" t="e">
        <f>$AH$6*(1-AE$12)*((1+HLOOKUP($A$81,FC_Premissas!$D$5:$W$16,14,FALSE)^0.0833-1))*L84*12</f>
        <v>#REF!</v>
      </c>
      <c r="V84" s="638">
        <f>M84*$AP$6*AL$13</f>
        <v>0</v>
      </c>
      <c r="W84" s="640" t="e">
        <f>$AP$6*(1-AM$12)*((1+HLOOKUP($A$81,FC_Premissas!$D$5:$W$16,14,FALSE))^0.0833-1)*M84*12</f>
        <v>#REF!</v>
      </c>
      <c r="X84" s="637">
        <f>N84*$AX$6*AT$13</f>
        <v>0</v>
      </c>
      <c r="Y84" s="640" t="e">
        <f>$AX$6*(1-AU$12)*((1+HLOOKUP($A$81,FC_Premissas!$D$5:$W$16,14,FALSE))^0.0833-1)*N84*12</f>
        <v>#REF!</v>
      </c>
      <c r="Z84" s="638">
        <f t="shared" si="44"/>
        <v>0</v>
      </c>
      <c r="AA84" s="640" t="e">
        <f t="shared" si="44"/>
        <v>#REF!</v>
      </c>
      <c r="AB84" s="641"/>
    </row>
    <row r="85" spans="1:28" x14ac:dyDescent="0.2">
      <c r="A85" s="984"/>
      <c r="B85" s="633">
        <v>2</v>
      </c>
      <c r="C85" s="634">
        <f>IF(A81&lt;=$F$3,L59,0)</f>
        <v>0</v>
      </c>
      <c r="D85" s="598">
        <f>IF(A81&lt;=$F$3,M59,0)</f>
        <v>0</v>
      </c>
      <c r="E85" s="598">
        <f>IF(A81&lt;=$F$3,N59,0)</f>
        <v>0</v>
      </c>
      <c r="F85" s="634"/>
      <c r="G85" s="598"/>
      <c r="H85" s="677"/>
      <c r="I85" s="598"/>
      <c r="J85" s="598"/>
      <c r="K85" s="676"/>
      <c r="L85" s="634">
        <f>IF(A81&lt;=$F$3,C85+F85-I85,0)</f>
        <v>0</v>
      </c>
      <c r="M85" s="598">
        <f>IF(A81&lt;=$F$3,D85+G85-J85,0)</f>
        <v>0</v>
      </c>
      <c r="N85" s="598">
        <f>IF(A81&lt;=$F$3,E85+H85-K85,0)</f>
        <v>0</v>
      </c>
      <c r="O85" s="635">
        <f>IF(A81&lt;=$F$3,F85*Q85+G85*R85+H85*S85,0)</f>
        <v>0</v>
      </c>
      <c r="P85" s="636">
        <f>IF(A81&lt;=$F$3,I85*Q85+J85*R85+K85*S85,0)</f>
        <v>0</v>
      </c>
      <c r="Q85" s="637">
        <f t="shared" si="43"/>
        <v>362117.27272727271</v>
      </c>
      <c r="R85" s="638">
        <f t="shared" si="43"/>
        <v>488657.87345454545</v>
      </c>
      <c r="S85" s="639">
        <f t="shared" si="43"/>
        <v>515808.05527272727</v>
      </c>
      <c r="T85" s="637">
        <f>L85*$AH$6*AD$14</f>
        <v>0</v>
      </c>
      <c r="U85" s="640" t="e">
        <f>$AH$6*(1-AE$13)*((1+HLOOKUP($A$81,FC_Premissas!$D$5:$W$16,14,FALSE)^0.0833-1))*L85*12</f>
        <v>#REF!</v>
      </c>
      <c r="V85" s="638">
        <f>M85*$AP$6*AL$14</f>
        <v>0</v>
      </c>
      <c r="W85" s="640" t="e">
        <f>$AP$6*(1-AM$13)*((1+HLOOKUP($A$81,FC_Premissas!$D$5:$W$16,14,FALSE))^0.0833-1)*M85*12</f>
        <v>#REF!</v>
      </c>
      <c r="X85" s="637">
        <f>N85*$AX$6*AT$14</f>
        <v>0</v>
      </c>
      <c r="Y85" s="640" t="e">
        <f>$AX$6*(1-AU$13)*((1+HLOOKUP($A$81,FC_Premissas!$D$5:$W$16,14,FALSE))^0.0833-1)*N85*12</f>
        <v>#REF!</v>
      </c>
      <c r="Z85" s="638">
        <f t="shared" si="44"/>
        <v>0</v>
      </c>
      <c r="AA85" s="640" t="e">
        <f t="shared" si="44"/>
        <v>#REF!</v>
      </c>
      <c r="AB85" s="641"/>
    </row>
    <row r="86" spans="1:28" x14ac:dyDescent="0.2">
      <c r="A86" s="984"/>
      <c r="B86" s="633">
        <v>3</v>
      </c>
      <c r="C86" s="634">
        <f>IF(A81&lt;=$F$3,L60,0)</f>
        <v>0</v>
      </c>
      <c r="D86" s="598">
        <f>IF(A81&lt;=$F$3,M60,0)</f>
        <v>0</v>
      </c>
      <c r="E86" s="598">
        <f>IF(A81&lt;=$F$3,N60,0)</f>
        <v>0</v>
      </c>
      <c r="F86" s="634"/>
      <c r="G86" s="598"/>
      <c r="H86" s="677"/>
      <c r="I86" s="598"/>
      <c r="J86" s="598"/>
      <c r="K86" s="676"/>
      <c r="L86" s="634">
        <f>IF(A81&lt;=$F$3,C86+F86-I86,0)</f>
        <v>0</v>
      </c>
      <c r="M86" s="598">
        <f>IF(A81&lt;=$F$3,D86+G86-J86,0)</f>
        <v>0</v>
      </c>
      <c r="N86" s="598">
        <f>IF(A81&lt;=$F$3,E86+H86-K86,0)</f>
        <v>0</v>
      </c>
      <c r="O86" s="635">
        <f>IF(A81&lt;=$F$3,F86*Q86+G86*R86+H86*S86,0)</f>
        <v>0</v>
      </c>
      <c r="P86" s="636">
        <f>IF(A81&lt;=$F$3,I86*Q86+J86*R86+K86*S86,0)</f>
        <v>0</v>
      </c>
      <c r="Q86" s="637">
        <f t="shared" si="43"/>
        <v>293324.54545454541</v>
      </c>
      <c r="R86" s="638">
        <f t="shared" si="43"/>
        <v>398071.71490909089</v>
      </c>
      <c r="S86" s="639">
        <f t="shared" si="43"/>
        <v>420064.07854545448</v>
      </c>
      <c r="T86" s="637">
        <f>L86*$AH$6*AD$15</f>
        <v>0</v>
      </c>
      <c r="U86" s="640" t="e">
        <f>$AH$6*(1-AE$14)*((1+HLOOKUP($A$81,FC_Premissas!$D$5:$W$16,14,FALSE)^0.0833-1))*L86*12</f>
        <v>#REF!</v>
      </c>
      <c r="V86" s="638">
        <f>M86*$AP$6*AL$15</f>
        <v>0</v>
      </c>
      <c r="W86" s="640" t="e">
        <f>$AP$6*(1-AM$14)*((1+HLOOKUP($A$81,FC_Premissas!$D$5:$W$16,14,FALSE))^0.0833-1)*M86*12</f>
        <v>#REF!</v>
      </c>
      <c r="X86" s="637">
        <f>N86*$AX$6*AT$15</f>
        <v>0</v>
      </c>
      <c r="Y86" s="640" t="e">
        <f>$AX$6*(1-AU$14)*((1+HLOOKUP($A$81,FC_Premissas!$D$5:$W$16,14,FALSE))^0.0833-1)*N86*12</f>
        <v>#REF!</v>
      </c>
      <c r="Z86" s="638">
        <f t="shared" si="44"/>
        <v>0</v>
      </c>
      <c r="AA86" s="640" t="e">
        <f t="shared" si="44"/>
        <v>#REF!</v>
      </c>
      <c r="AB86" s="641"/>
    </row>
    <row r="87" spans="1:28" x14ac:dyDescent="0.2">
      <c r="A87" s="984"/>
      <c r="B87" s="633">
        <v>4</v>
      </c>
      <c r="C87" s="634">
        <f>IF(A81&lt;=$F$3,L61,0)</f>
        <v>0</v>
      </c>
      <c r="D87" s="598">
        <f>IF(A81&lt;=$F$3,M61,0)</f>
        <v>0</v>
      </c>
      <c r="E87" s="598">
        <f>IF(A81&lt;=$F$3,N61,0)</f>
        <v>0</v>
      </c>
      <c r="F87" s="634"/>
      <c r="G87" s="598"/>
      <c r="H87" s="677"/>
      <c r="I87" s="598"/>
      <c r="J87" s="598"/>
      <c r="K87" s="676"/>
      <c r="L87" s="634">
        <f>IF(A81&lt;=$F$3,C87+F87-I87,0)</f>
        <v>0</v>
      </c>
      <c r="M87" s="598">
        <f>IF(A81&lt;=$F$3,D87+G87-J87,0)</f>
        <v>0</v>
      </c>
      <c r="N87" s="598">
        <f>IF(A81&lt;=$F$3,E87+H87-K87,0)</f>
        <v>0</v>
      </c>
      <c r="O87" s="635">
        <f>IF(A81&lt;=$F$3,F87*Q87+G87*R87+H87*S87,0)</f>
        <v>0</v>
      </c>
      <c r="P87" s="636">
        <f>IF(A81&lt;=$F$3,I87*Q87+J87*R87+K87*S87,0)</f>
        <v>0</v>
      </c>
      <c r="Q87" s="637">
        <f t="shared" si="43"/>
        <v>233130.90909090909</v>
      </c>
      <c r="R87" s="638">
        <f t="shared" si="43"/>
        <v>318808.82618181815</v>
      </c>
      <c r="S87" s="639">
        <f t="shared" si="43"/>
        <v>336288.09890909091</v>
      </c>
      <c r="T87" s="637">
        <f>L87*$AH$6*AD$16</f>
        <v>0</v>
      </c>
      <c r="U87" s="640" t="e">
        <f>$AH$6*(1-AE$15)*((1+HLOOKUP($A$81,FC_Premissas!$D$5:$W$16,14,FALSE)^0.0833-1))*L87*12</f>
        <v>#REF!</v>
      </c>
      <c r="V87" s="638">
        <f>M87*$AP$6*AL$16</f>
        <v>0</v>
      </c>
      <c r="W87" s="640" t="e">
        <f>$AP$6*(1-AM$15)*((1+HLOOKUP($A$81,FC_Premissas!$D$5:$W$16,14,FALSE))^0.0833-1)*M87*12</f>
        <v>#REF!</v>
      </c>
      <c r="X87" s="637">
        <f>N87*$AX$6*AT$16</f>
        <v>0</v>
      </c>
      <c r="Y87" s="640" t="e">
        <f>$AX$6*(1-AU$15)*((1+HLOOKUP($A$81,FC_Premissas!$D$5:$W$16,14,FALSE))^0.0833-1)*N87*12</f>
        <v>#REF!</v>
      </c>
      <c r="Z87" s="638">
        <f t="shared" si="44"/>
        <v>0</v>
      </c>
      <c r="AA87" s="640" t="e">
        <f t="shared" si="44"/>
        <v>#REF!</v>
      </c>
      <c r="AB87" s="641"/>
    </row>
    <row r="88" spans="1:28" x14ac:dyDescent="0.2">
      <c r="A88" s="984"/>
      <c r="B88" s="633">
        <v>5</v>
      </c>
      <c r="C88" s="634">
        <f>IF(A81&lt;=$F$3,L62,0)</f>
        <v>0</v>
      </c>
      <c r="D88" s="598">
        <f>IF(A81&lt;=$F$3,M62,0)</f>
        <v>0</v>
      </c>
      <c r="E88" s="598">
        <f>IF(A81&lt;=$F$3,N62,0)</f>
        <v>0</v>
      </c>
      <c r="F88" s="634"/>
      <c r="G88" s="598"/>
      <c r="H88" s="677"/>
      <c r="I88" s="598"/>
      <c r="J88" s="598"/>
      <c r="K88" s="676"/>
      <c r="L88" s="634">
        <f>IF(A81&lt;=$F$3,C88+F88-I88,0)</f>
        <v>0</v>
      </c>
      <c r="M88" s="598">
        <f>IF(A81&lt;=$F$3,D88+G88-J88,0)</f>
        <v>0</v>
      </c>
      <c r="N88" s="598">
        <f>IF(A81&lt;=$F$3,E88+H88-K88,0)</f>
        <v>0</v>
      </c>
      <c r="O88" s="635">
        <f>IF(A81&lt;=$F$3,F88*Q88+G88*R88+H88*S88,0)</f>
        <v>0</v>
      </c>
      <c r="P88" s="636">
        <f>IF(A81&lt;=$F$3,I88*Q88+J88*R88+K88*S88,0)</f>
        <v>0</v>
      </c>
      <c r="Q88" s="637">
        <f t="shared" si="43"/>
        <v>181536.36363636365</v>
      </c>
      <c r="R88" s="638">
        <f t="shared" si="43"/>
        <v>250869.20727272728</v>
      </c>
      <c r="S88" s="639">
        <f t="shared" si="43"/>
        <v>264480.11636363639</v>
      </c>
      <c r="T88" s="637">
        <f>L88*$AH$6*AD$17</f>
        <v>0</v>
      </c>
      <c r="U88" s="640" t="e">
        <f>$AH$6*(1-AE$16)*((1+HLOOKUP($A$81,FC_Premissas!$D$5:$W$16,14,FALSE)^0.0833-1))*L88*12</f>
        <v>#REF!</v>
      </c>
      <c r="V88" s="638">
        <f>M88*$AP$6*AL$17</f>
        <v>0</v>
      </c>
      <c r="W88" s="640" t="e">
        <f>$AP$6*(1-AM$16)*((1+HLOOKUP($A$81,FC_Premissas!$D$5:$W$16,14,FALSE))^0.0833-1)*M88*12</f>
        <v>#REF!</v>
      </c>
      <c r="X88" s="637">
        <f>N88*$AX$6*AT$17</f>
        <v>0</v>
      </c>
      <c r="Y88" s="640" t="e">
        <f>$AX$6*(1-AU$16)*((1+HLOOKUP($A$81,FC_Premissas!$D$5:$W$16,14,FALSE))^0.0833-1)*N88*12</f>
        <v>#REF!</v>
      </c>
      <c r="Z88" s="638">
        <f t="shared" si="44"/>
        <v>0</v>
      </c>
      <c r="AA88" s="640" t="e">
        <f t="shared" si="44"/>
        <v>#REF!</v>
      </c>
      <c r="AB88" s="641"/>
    </row>
    <row r="89" spans="1:28" x14ac:dyDescent="0.2">
      <c r="A89" s="984"/>
      <c r="B89" s="633">
        <v>6</v>
      </c>
      <c r="C89" s="634">
        <f>IF(A81&lt;=$F$3,L63,0)</f>
        <v>0</v>
      </c>
      <c r="D89" s="598">
        <f>IF(A81&lt;=$F$3,M63,0)</f>
        <v>0</v>
      </c>
      <c r="E89" s="598">
        <f>IF(A81&lt;=$F$3,N63,0)</f>
        <v>3</v>
      </c>
      <c r="F89" s="634"/>
      <c r="G89" s="598"/>
      <c r="H89" s="650"/>
      <c r="I89" s="598"/>
      <c r="J89" s="598"/>
      <c r="K89" s="676"/>
      <c r="L89" s="634">
        <f>IF(A81&lt;=$F$3,C89+F89-I89,0)</f>
        <v>0</v>
      </c>
      <c r="M89" s="598">
        <f>IF(A81&lt;=$F$3,D89+G89-J89,0)</f>
        <v>0</v>
      </c>
      <c r="N89" s="598">
        <f>IF(A81&lt;=$F$3,E89+H89-K89,0)</f>
        <v>3</v>
      </c>
      <c r="O89" s="635">
        <f>IF(A81&lt;=$F$3,F89*Q89+G89*R89+H89*S89,0)</f>
        <v>0</v>
      </c>
      <c r="P89" s="636">
        <f>IF(A81&lt;=$F$3,I89*Q89+J89*R89+K89*S89,0)</f>
        <v>0</v>
      </c>
      <c r="Q89" s="637">
        <f t="shared" si="43"/>
        <v>138540.90909090912</v>
      </c>
      <c r="R89" s="638">
        <f t="shared" si="43"/>
        <v>194252.85818181818</v>
      </c>
      <c r="S89" s="639">
        <f t="shared" si="43"/>
        <v>204640.13090909092</v>
      </c>
      <c r="T89" s="637">
        <f>L89*$AH$6*AD$18</f>
        <v>0</v>
      </c>
      <c r="U89" s="640" t="e">
        <f>$AH$6*(1-AE$17)*((1+HLOOKUP($A$81,FC_Premissas!$D$5:$W$16,14,FALSE)^0.0833-1))*L89*12</f>
        <v>#REF!</v>
      </c>
      <c r="V89" s="638">
        <f>M89*$AP$6*AL$18</f>
        <v>0</v>
      </c>
      <c r="W89" s="640" t="e">
        <f>$AP$6*(1-AM$17)*((1+HLOOKUP($A$81,FC_Premissas!$D$5:$W$16,14,FALSE))^0.0833-1)*M89*12</f>
        <v>#REF!</v>
      </c>
      <c r="X89" s="637">
        <f>N89*$AX$6*AT$18</f>
        <v>143615.9650909091</v>
      </c>
      <c r="Y89" s="640" t="e">
        <f>$AX$6*(1-AU$17)*((1+HLOOKUP($A$81,FC_Premissas!$D$5:$W$16,14,FALSE))^0.0833-1)*N89*12</f>
        <v>#REF!</v>
      </c>
      <c r="Z89" s="638">
        <f t="shared" si="44"/>
        <v>143615.9650909091</v>
      </c>
      <c r="AA89" s="640" t="e">
        <f t="shared" si="44"/>
        <v>#REF!</v>
      </c>
      <c r="AB89" s="641"/>
    </row>
    <row r="90" spans="1:28" x14ac:dyDescent="0.2">
      <c r="A90" s="984"/>
      <c r="B90" s="633">
        <v>7</v>
      </c>
      <c r="C90" s="634">
        <f>IF(A81&lt;=$F$3,L64,0)</f>
        <v>0</v>
      </c>
      <c r="D90" s="598">
        <f>IF(A81&lt;=$F$3,M64,0)</f>
        <v>0</v>
      </c>
      <c r="E90" s="598">
        <f>IF(A81&lt;=$F$3,N64,0)</f>
        <v>0</v>
      </c>
      <c r="F90" s="634"/>
      <c r="G90" s="598"/>
      <c r="H90" s="650"/>
      <c r="I90" s="598"/>
      <c r="J90" s="598"/>
      <c r="K90" s="676"/>
      <c r="L90" s="634">
        <f>IF(A81&lt;=$F$3,C90+F90-I90,0)</f>
        <v>0</v>
      </c>
      <c r="M90" s="598">
        <f>IF(A81&lt;=$F$3,D90+G90-J90,0)</f>
        <v>0</v>
      </c>
      <c r="N90" s="598">
        <f>IF(A81&lt;=$F$3,E90+H90-K90,0)</f>
        <v>0</v>
      </c>
      <c r="O90" s="635">
        <f>IF(A81&lt;=$F$3,F90*Q90+G90*R90+H90*S90,0)</f>
        <v>0</v>
      </c>
      <c r="P90" s="636">
        <f>IF(A81&lt;=$F$3,I90*Q90+J90*R90+K90*S90,0)</f>
        <v>0</v>
      </c>
      <c r="Q90" s="637">
        <f t="shared" si="43"/>
        <v>104144.54545454548</v>
      </c>
      <c r="R90" s="638">
        <f t="shared" si="43"/>
        <v>148959.77890909094</v>
      </c>
      <c r="S90" s="639">
        <f t="shared" si="43"/>
        <v>156768.14254545458</v>
      </c>
      <c r="T90" s="637">
        <f>L90*$AH$6*AD$19</f>
        <v>0</v>
      </c>
      <c r="U90" s="640" t="e">
        <f>$AH$6*(1-AE$18)*((1+HLOOKUP($A$81,FC_Premissas!$D$5:$W$16,14,FALSE)^0.0833-1))*L90*12</f>
        <v>#REF!</v>
      </c>
      <c r="V90" s="638">
        <f>M90*$AP$6*AL$19</f>
        <v>0</v>
      </c>
      <c r="W90" s="640" t="e">
        <f>$AP$6*(1-AM$18)*((1+HLOOKUP($A$81,FC_Premissas!$D$5:$W$16,14,FALSE))^0.0833-1)*M90*12</f>
        <v>#REF!</v>
      </c>
      <c r="X90" s="637">
        <f>N90*$AX$6*AT$19</f>
        <v>0</v>
      </c>
      <c r="Y90" s="640" t="e">
        <f>$AX$6*(1-AU$18)*((1+HLOOKUP($A$81,FC_Premissas!$D$5:$W$16,14,FALSE))^0.0833-1)*N90*12</f>
        <v>#REF!</v>
      </c>
      <c r="Z90" s="638">
        <f t="shared" si="44"/>
        <v>0</v>
      </c>
      <c r="AA90" s="640" t="e">
        <f t="shared" si="44"/>
        <v>#REF!</v>
      </c>
      <c r="AB90" s="641"/>
    </row>
    <row r="91" spans="1:28" x14ac:dyDescent="0.2">
      <c r="A91" s="984"/>
      <c r="B91" s="633">
        <v>8</v>
      </c>
      <c r="C91" s="634">
        <f>IF(A81&lt;=$F$3,L65,0)</f>
        <v>0</v>
      </c>
      <c r="D91" s="598">
        <f>IF(A81&lt;=$F$3,M65,0)</f>
        <v>0</v>
      </c>
      <c r="E91" s="598">
        <f>IF(A81&lt;=$F$3,N65,0)</f>
        <v>4</v>
      </c>
      <c r="F91" s="634"/>
      <c r="G91" s="598"/>
      <c r="H91" s="650"/>
      <c r="I91" s="598"/>
      <c r="J91" s="598"/>
      <c r="K91" s="676"/>
      <c r="L91" s="634">
        <f>IF(A81&lt;=$F$3,C91+F91-I91,0)</f>
        <v>0</v>
      </c>
      <c r="M91" s="598">
        <f>IF(A81&lt;=$F$3,D91+G91-J91,0)</f>
        <v>0</v>
      </c>
      <c r="N91" s="598">
        <f>IF(A81&lt;=$F$3,E91+H91-K91,0)</f>
        <v>4</v>
      </c>
      <c r="O91" s="635">
        <f>IF(A81&lt;=$F$3,F91*Q91+G91*R91+H91*S91,0)</f>
        <v>0</v>
      </c>
      <c r="P91" s="636">
        <f>IF(A81&lt;=$F$3,I91*Q91+J91*R91+K91*S91,0)</f>
        <v>0</v>
      </c>
      <c r="Q91" s="637">
        <f t="shared" si="43"/>
        <v>78347.272727272764</v>
      </c>
      <c r="R91" s="638">
        <f t="shared" si="43"/>
        <v>114989.9694545455</v>
      </c>
      <c r="S91" s="639">
        <f t="shared" si="43"/>
        <v>120864.15127272732</v>
      </c>
      <c r="T91" s="637">
        <f>L91*$AH$6*AD$20</f>
        <v>0</v>
      </c>
      <c r="U91" s="640" t="e">
        <f>$AH$6*(1-AE$19)*((1+HLOOKUP($A$81,FC_Premissas!$D$5:$W$16,14,FALSE)^0.0833-1))*L91*12</f>
        <v>#REF!</v>
      </c>
      <c r="V91" s="638">
        <f>M91*$AP$6*AL$20</f>
        <v>0</v>
      </c>
      <c r="W91" s="640" t="e">
        <f>$AP$6*(1-AM$19)*((1+HLOOKUP($A$81,FC_Premissas!$D$5:$W$16,14,FALSE))^0.0833-1)*M91*12</f>
        <v>#REF!</v>
      </c>
      <c r="X91" s="637">
        <f>N91*$AX$6*AT$20</f>
        <v>95743.976727272733</v>
      </c>
      <c r="Y91" s="640" t="e">
        <f>$AX$6*(1-AU$19)*((1+HLOOKUP($A$81,FC_Premissas!$D$5:$W$16,14,FALSE))^0.0833-1)*N91*12</f>
        <v>#REF!</v>
      </c>
      <c r="Z91" s="638">
        <f t="shared" si="44"/>
        <v>95743.976727272733</v>
      </c>
      <c r="AA91" s="640" t="e">
        <f t="shared" si="44"/>
        <v>#REF!</v>
      </c>
      <c r="AB91" s="641"/>
    </row>
    <row r="92" spans="1:28" x14ac:dyDescent="0.2">
      <c r="A92" s="984"/>
      <c r="B92" s="633">
        <v>9</v>
      </c>
      <c r="C92" s="634">
        <f>IF(A81&lt;=$F$3,L66,0)</f>
        <v>0</v>
      </c>
      <c r="D92" s="598">
        <f>IF(A81&lt;=$F$3,M66,0)</f>
        <v>0</v>
      </c>
      <c r="E92" s="598">
        <f>IF(A81&lt;=$F$3,N66,0)</f>
        <v>0</v>
      </c>
      <c r="F92" s="634"/>
      <c r="G92" s="598"/>
      <c r="H92" s="650"/>
      <c r="I92" s="598"/>
      <c r="J92" s="598"/>
      <c r="K92" s="676"/>
      <c r="L92" s="634">
        <f>IF(A81&lt;=$F$3,C92+F92-I92,0)</f>
        <v>0</v>
      </c>
      <c r="M92" s="598">
        <f>IF(A81&lt;=$F$3,D92+G92-J92,0)</f>
        <v>0</v>
      </c>
      <c r="N92" s="598">
        <f>IF(A81&lt;=$F$3,E92+H92-K92,0)</f>
        <v>0</v>
      </c>
      <c r="O92" s="635">
        <f>IF(A81&lt;=$F$3,F92*Q92+G92*R92+H92*S92,0)</f>
        <v>0</v>
      </c>
      <c r="P92" s="636">
        <f>IF(A81&lt;=$F$3,I92*Q92+J92*R92+K92*S92,0)</f>
        <v>0</v>
      </c>
      <c r="Q92" s="637">
        <f t="shared" si="43"/>
        <v>61149.090909090955</v>
      </c>
      <c r="R92" s="638">
        <f t="shared" si="43"/>
        <v>92343.429818181874</v>
      </c>
      <c r="S92" s="639">
        <f t="shared" si="43"/>
        <v>96928.157090909139</v>
      </c>
      <c r="T92" s="637">
        <f>L92*$AH$6*AD$21</f>
        <v>0</v>
      </c>
      <c r="U92" s="640" t="e">
        <f>$AH$6*(1-AE$20)*((1+HLOOKUP($A$81,FC_Premissas!$D$5:$W$16,14,FALSE)^0.0833-1))*L92*12</f>
        <v>#REF!</v>
      </c>
      <c r="V92" s="638">
        <f>M92*$AP$6*AL$21</f>
        <v>0</v>
      </c>
      <c r="W92" s="640" t="e">
        <f>$AP$6*(1-AM$20)*((1+HLOOKUP($A$81,FC_Premissas!$D$5:$W$16,14,FALSE))^0.0833-1)*M92*12</f>
        <v>#REF!</v>
      </c>
      <c r="X92" s="637">
        <f>N92*$AX$6*AT$21</f>
        <v>0</v>
      </c>
      <c r="Y92" s="640" t="e">
        <f>$AX$6*(1-AU$20)*((1+HLOOKUP($A$81,FC_Premissas!$D$5:$W$16,14,FALSE))^0.0833-1)*N92*12</f>
        <v>#REF!</v>
      </c>
      <c r="Z92" s="638">
        <f t="shared" si="44"/>
        <v>0</v>
      </c>
      <c r="AA92" s="640" t="e">
        <f t="shared" si="44"/>
        <v>#REF!</v>
      </c>
      <c r="AB92" s="641"/>
    </row>
    <row r="93" spans="1:28" x14ac:dyDescent="0.2">
      <c r="A93" s="984"/>
      <c r="B93" s="633">
        <v>10</v>
      </c>
      <c r="C93" s="634">
        <f>IF(A81&lt;=$F$3,L67,0)</f>
        <v>0</v>
      </c>
      <c r="D93" s="598">
        <f>IF(A81&lt;=$F$3,M67,0)</f>
        <v>0</v>
      </c>
      <c r="E93" s="598">
        <f>IF(A81&lt;=$F$3,N67,0)</f>
        <v>3</v>
      </c>
      <c r="F93" s="634"/>
      <c r="G93" s="598"/>
      <c r="H93" s="650"/>
      <c r="I93" s="598"/>
      <c r="J93" s="598"/>
      <c r="K93" s="676"/>
      <c r="L93" s="634">
        <f>IF(A81&lt;=$F$3,C93+F93-I93,0)</f>
        <v>0</v>
      </c>
      <c r="M93" s="598">
        <f>IF(A81&lt;=$F$3,D93+G93-J93,0)</f>
        <v>0</v>
      </c>
      <c r="N93" s="598">
        <f>IF(A81&lt;=$F$3,E93+H93-K93,0)</f>
        <v>3</v>
      </c>
      <c r="O93" s="635">
        <f>IF(A81&lt;=$F$3,F93*Q93+G93*R93+H93*S93,0)</f>
        <v>0</v>
      </c>
      <c r="P93" s="636">
        <f>IF(A81&lt;=$F$3,I93*Q93+J93*R93+K93*S93,0)</f>
        <v>0</v>
      </c>
      <c r="Q93" s="637">
        <f t="shared" si="43"/>
        <v>52550.000000000044</v>
      </c>
      <c r="R93" s="638">
        <f t="shared" si="43"/>
        <v>81020.160000000062</v>
      </c>
      <c r="S93" s="639">
        <f t="shared" si="43"/>
        <v>84960.160000000062</v>
      </c>
      <c r="T93" s="637">
        <f>L93*$AH$6*AD$22</f>
        <v>0</v>
      </c>
      <c r="U93" s="640" t="e">
        <f>$AH$6*(1-AE$21)*((1+HLOOKUP($A$81,FC_Premissas!$D$5:$W$16,14,FALSE)^0.0833-1))*L93*12</f>
        <v>#REF!</v>
      </c>
      <c r="V93" s="638">
        <f>M93*$AP$6*AL$22</f>
        <v>0</v>
      </c>
      <c r="W93" s="640" t="e">
        <f>$AP$6*(1-AM$21)*((1+HLOOKUP($A$81,FC_Premissas!$D$5:$W$16,14,FALSE))^0.0833-1)*M93*12</f>
        <v>#REF!</v>
      </c>
      <c r="X93" s="637">
        <f>N93*$AX$6*AT$22</f>
        <v>0</v>
      </c>
      <c r="Y93" s="640" t="e">
        <f>$AX$6*(1-AU$21)*((1+HLOOKUP($A$81,FC_Premissas!$D$5:$W$16,14,FALSE))^0.0833-1)*N93*12</f>
        <v>#REF!</v>
      </c>
      <c r="Z93" s="638">
        <f t="shared" si="44"/>
        <v>0</v>
      </c>
      <c r="AA93" s="640" t="e">
        <f t="shared" si="44"/>
        <v>#REF!</v>
      </c>
      <c r="AB93" s="641"/>
    </row>
    <row r="94" spans="1:28" x14ac:dyDescent="0.2">
      <c r="A94" s="984"/>
      <c r="B94" s="633">
        <v>11</v>
      </c>
      <c r="C94" s="634">
        <f>IF(A81&lt;=$F$3,L68,0)</f>
        <v>0</v>
      </c>
      <c r="D94" s="598">
        <f>IF(A81&lt;=$F$3,M68,0)</f>
        <v>0</v>
      </c>
      <c r="E94" s="598">
        <f>IF(A81&lt;=$F$3,N68,0)</f>
        <v>0</v>
      </c>
      <c r="F94" s="634"/>
      <c r="G94" s="598"/>
      <c r="H94" s="650"/>
      <c r="I94" s="598"/>
      <c r="J94" s="598"/>
      <c r="K94" s="676"/>
      <c r="L94" s="634">
        <f>IF(A81&lt;=$F$3,C94+F94-I94,0)</f>
        <v>0</v>
      </c>
      <c r="M94" s="598">
        <f>IF(A81&lt;=$F$3,D94+G94-J94,0)</f>
        <v>0</v>
      </c>
      <c r="N94" s="598">
        <f>IF(A81&lt;=$F$3,E94+H94-K94,0)</f>
        <v>0</v>
      </c>
      <c r="O94" s="635">
        <f>IF(A81&lt;=$F$3,F94*Q94+G94*R94+H94*S94,0)</f>
        <v>0</v>
      </c>
      <c r="P94" s="636">
        <f>IF(A81&lt;=$F$3,I94*Q94+J94*R94+K94*S94,0)</f>
        <v>0</v>
      </c>
      <c r="Q94" s="637">
        <f t="shared" si="43"/>
        <v>52550.000000000044</v>
      </c>
      <c r="R94" s="638">
        <f t="shared" si="43"/>
        <v>81020.160000000062</v>
      </c>
      <c r="S94" s="639">
        <f t="shared" si="43"/>
        <v>84960.160000000062</v>
      </c>
      <c r="T94" s="637">
        <f>L94*$AH$6*AD$23</f>
        <v>0</v>
      </c>
      <c r="U94" s="640" t="e">
        <f>$AH$6*(1-AE$22)*((1+HLOOKUP($A$81,FC_Premissas!$D$5:$W$16,14,FALSE)^0.0833-1))*L94*12</f>
        <v>#REF!</v>
      </c>
      <c r="V94" s="638">
        <f>M94*$AP$6*AL$23</f>
        <v>0</v>
      </c>
      <c r="W94" s="640" t="e">
        <f>$AP$6*(1-AM$22)*((1+HLOOKUP($A$81,FC_Premissas!$D$5:$W$16,14,FALSE))^0.0833-1)*M94*12</f>
        <v>#REF!</v>
      </c>
      <c r="X94" s="637">
        <f>N94*$AX$6*AT$23</f>
        <v>0</v>
      </c>
      <c r="Y94" s="640" t="e">
        <f>$AX$6*(1-AU$22)*((1+HLOOKUP($A$81,FC_Premissas!$D$5:$W$16,14,FALSE))^0.0833-1)*N94*12</f>
        <v>#REF!</v>
      </c>
      <c r="Z94" s="638">
        <f t="shared" si="44"/>
        <v>0</v>
      </c>
      <c r="AA94" s="640" t="e">
        <f t="shared" si="44"/>
        <v>#REF!</v>
      </c>
      <c r="AB94" s="641"/>
    </row>
    <row r="95" spans="1:28" x14ac:dyDescent="0.2">
      <c r="A95" s="984"/>
      <c r="B95" s="633">
        <v>12</v>
      </c>
      <c r="C95" s="634">
        <f>IF(A81&lt;=$F$3,L69,0)</f>
        <v>0</v>
      </c>
      <c r="D95" s="598">
        <f>IF(A81&lt;=$F$3,M69,0)</f>
        <v>0</v>
      </c>
      <c r="E95" s="598">
        <f>IF(A81&lt;=$F$3,N69,0)</f>
        <v>1</v>
      </c>
      <c r="F95" s="634"/>
      <c r="G95" s="598"/>
      <c r="H95" s="650"/>
      <c r="I95" s="598"/>
      <c r="J95" s="598"/>
      <c r="K95" s="676"/>
      <c r="L95" s="634">
        <f>IF(A81&lt;=$F$3,C95+F95-I95,0)</f>
        <v>0</v>
      </c>
      <c r="M95" s="598">
        <f>IF(A81&lt;=$F$3,D95+G95-J95,0)</f>
        <v>0</v>
      </c>
      <c r="N95" s="598">
        <f>IF(A81&lt;=$F$3,E95+H95-K95,0)</f>
        <v>1</v>
      </c>
      <c r="O95" s="635">
        <f>IF(A81&lt;=$F$3,F95*Q95+G95*R95+H95*S95,0)</f>
        <v>0</v>
      </c>
      <c r="P95" s="636">
        <f>IF(A81&lt;=$F$3,I95*Q95+J95*R95+K95*S95,0)</f>
        <v>0</v>
      </c>
      <c r="Q95" s="637">
        <f t="shared" si="43"/>
        <v>52550.000000000044</v>
      </c>
      <c r="R95" s="638">
        <f t="shared" si="43"/>
        <v>81020.160000000062</v>
      </c>
      <c r="S95" s="639">
        <f t="shared" si="43"/>
        <v>84960.160000000062</v>
      </c>
      <c r="T95" s="637">
        <f>L95*$AH$6*AD$24</f>
        <v>0</v>
      </c>
      <c r="U95" s="640" t="e">
        <f>$AH$6*(1-AE$23)*((1+HLOOKUP($A$81,FC_Premissas!$D$5:$W$16,14,FALSE)^0.0833-1))*L95*12</f>
        <v>#REF!</v>
      </c>
      <c r="V95" s="638">
        <f>M95*$AP$6*AL$24</f>
        <v>0</v>
      </c>
      <c r="W95" s="640" t="e">
        <f>$AP$6*(1-AM$23)*((1+HLOOKUP($A$81,FC_Premissas!$D$5:$W$16,14,FALSE))^0.0833-1)*M95*12</f>
        <v>#REF!</v>
      </c>
      <c r="X95" s="637">
        <f>N95*$AX$6*AT$24</f>
        <v>0</v>
      </c>
      <c r="Y95" s="640" t="e">
        <f>$AX$6*(1-AU$23)*((1+HLOOKUP($A$81,FC_Premissas!$D$5:$W$16,14,FALSE))^0.0833-1)*N95*12</f>
        <v>#REF!</v>
      </c>
      <c r="Z95" s="638">
        <f t="shared" si="44"/>
        <v>0</v>
      </c>
      <c r="AA95" s="640" t="e">
        <f t="shared" si="44"/>
        <v>#REF!</v>
      </c>
      <c r="AB95" s="641"/>
    </row>
    <row r="96" spans="1:28" x14ac:dyDescent="0.2">
      <c r="A96" s="984"/>
      <c r="B96" s="633">
        <v>13</v>
      </c>
      <c r="C96" s="634">
        <f>IF(A81&lt;=$F$3,L70,0)</f>
        <v>0</v>
      </c>
      <c r="D96" s="598">
        <f>IF(A81&lt;=$F$3,M70,0)</f>
        <v>0</v>
      </c>
      <c r="E96" s="650">
        <f>IF(A81&lt;=$F$3,N70,0)</f>
        <v>0</v>
      </c>
      <c r="F96" s="634"/>
      <c r="G96" s="598"/>
      <c r="H96" s="598"/>
      <c r="I96" s="634"/>
      <c r="J96" s="598"/>
      <c r="K96" s="676"/>
      <c r="L96" s="634">
        <f>IF(A81&lt;=$F$3,C96+F96-I96,0)</f>
        <v>0</v>
      </c>
      <c r="M96" s="598">
        <f>IF(A81&lt;=$F$3,D96+G96-J96,0)</f>
        <v>0</v>
      </c>
      <c r="N96" s="598">
        <f>IF(A81&lt;=$F$3,E96+H96-K96,0)</f>
        <v>0</v>
      </c>
      <c r="O96" s="635">
        <f>IF(A81&lt;=$F$3,F96*Q96+G96*R96+H96*S96,0)</f>
        <v>0</v>
      </c>
      <c r="P96" s="636">
        <f>IF(A81&lt;=$F$3,I96*Q96+J96*R96+K96*S96,0)</f>
        <v>0</v>
      </c>
      <c r="Q96" s="637">
        <f t="shared" si="43"/>
        <v>52550.000000000044</v>
      </c>
      <c r="R96" s="638">
        <f t="shared" si="43"/>
        <v>81020.160000000062</v>
      </c>
      <c r="S96" s="639">
        <f t="shared" si="43"/>
        <v>84960.160000000062</v>
      </c>
      <c r="T96" s="637">
        <f>L96*$AH$6*AD$25</f>
        <v>0</v>
      </c>
      <c r="U96" s="640" t="e">
        <f>$AH$6*(1-AE$24)*((1+HLOOKUP($A$81,FC_Premissas!$D$5:$W$16,14,FALSE)^0.0833-1))*L96*12</f>
        <v>#REF!</v>
      </c>
      <c r="V96" s="638">
        <f>M96*$AP$6*AL$25</f>
        <v>0</v>
      </c>
      <c r="W96" s="640" t="e">
        <f>$AP$6*(1-AM$24)*((1+HLOOKUP($A$81,FC_Premissas!$D$5:$W$16,14,FALSE))^0.0833-1)*M96*12</f>
        <v>#REF!</v>
      </c>
      <c r="X96" s="637">
        <f>N96*$AX$6*AT$25</f>
        <v>0</v>
      </c>
      <c r="Y96" s="640" t="e">
        <f>$AX$6*(1-AU$24)*((1+HLOOKUP($A$81,FC_Premissas!$D$5:$W$16,14,FALSE))^0.0833-1)*N96*12</f>
        <v>#REF!</v>
      </c>
      <c r="Z96" s="638">
        <f t="shared" si="44"/>
        <v>0</v>
      </c>
      <c r="AA96" s="640" t="e">
        <f t="shared" si="44"/>
        <v>#REF!</v>
      </c>
      <c r="AB96" s="641"/>
    </row>
    <row r="97" spans="1:28" x14ac:dyDescent="0.2">
      <c r="A97" s="984"/>
      <c r="B97" s="633">
        <v>14</v>
      </c>
      <c r="C97" s="634">
        <f>IF(A81&lt;=$F$3,L71,0)</f>
        <v>0</v>
      </c>
      <c r="D97" s="598">
        <f>IF(A81&lt;=$F$3,M71,0)</f>
        <v>0</v>
      </c>
      <c r="E97" s="650">
        <f>IF(A81&lt;=$F$3,N71,0)</f>
        <v>0</v>
      </c>
      <c r="F97" s="634"/>
      <c r="G97" s="598"/>
      <c r="H97" s="598"/>
      <c r="I97" s="634"/>
      <c r="J97" s="598"/>
      <c r="K97" s="598"/>
      <c r="L97" s="634">
        <f>IF(A81&lt;=$F$3,C97+F97-I97,0)</f>
        <v>0</v>
      </c>
      <c r="M97" s="598">
        <f>IF(A81&lt;=$F$3,D97+G97-J97,0)</f>
        <v>0</v>
      </c>
      <c r="N97" s="598">
        <f>IF(A81&lt;=$F$3,E97+H97-K97,0)</f>
        <v>0</v>
      </c>
      <c r="O97" s="635">
        <f>IF(A81&lt;=$F$3,F97*Q97+G97*R97+H97*S97,0)</f>
        <v>0</v>
      </c>
      <c r="P97" s="636">
        <f>IF(A81&lt;=$F$3,I97*Q97+J97*R97+K97*S97,0)</f>
        <v>0</v>
      </c>
      <c r="Q97" s="637">
        <f t="shared" si="43"/>
        <v>52550.000000000044</v>
      </c>
      <c r="R97" s="638">
        <f t="shared" si="43"/>
        <v>81020.160000000062</v>
      </c>
      <c r="S97" s="639">
        <f t="shared" si="43"/>
        <v>84960.160000000062</v>
      </c>
      <c r="T97" s="637">
        <f>L97*$AH$6*AD$26</f>
        <v>0</v>
      </c>
      <c r="U97" s="640" t="e">
        <f>$AH$6*(1-AE$25)*((1+HLOOKUP($A$81,FC_Premissas!$D$5:$W$16,14,FALSE)^0.0833-1))*L97*12</f>
        <v>#REF!</v>
      </c>
      <c r="V97" s="638">
        <f>M97*$AP$6*AL$26</f>
        <v>0</v>
      </c>
      <c r="W97" s="640" t="e">
        <f>$AP$6*(1-AM$25)*((1+HLOOKUP($A$81,FC_Premissas!$D$5:$W$16,14,FALSE))^0.0833-1)*M97*12</f>
        <v>#REF!</v>
      </c>
      <c r="X97" s="637">
        <f>N97*$AX$6*AT$26</f>
        <v>0</v>
      </c>
      <c r="Y97" s="640" t="e">
        <f>$AX$6*(1-AU$25)*((1+HLOOKUP($A$81,FC_Premissas!$D$5:$W$16,14,FALSE))^0.0833-1)*N97*12</f>
        <v>#REF!</v>
      </c>
      <c r="Z97" s="638">
        <f t="shared" si="44"/>
        <v>0</v>
      </c>
      <c r="AA97" s="640" t="e">
        <f t="shared" si="44"/>
        <v>#REF!</v>
      </c>
      <c r="AB97" s="641"/>
    </row>
    <row r="98" spans="1:28" x14ac:dyDescent="0.2">
      <c r="A98" s="984"/>
      <c r="B98" s="633">
        <v>15</v>
      </c>
      <c r="C98" s="634">
        <f>IF(A81&lt;=$F$3,L72,0)</f>
        <v>0</v>
      </c>
      <c r="D98" s="598">
        <f>IF(A81&lt;=$F$3,M72,0)</f>
        <v>0</v>
      </c>
      <c r="E98" s="650">
        <f>IF(A81&lt;=$F$3,N72,0)</f>
        <v>0</v>
      </c>
      <c r="F98" s="634"/>
      <c r="G98" s="598"/>
      <c r="H98" s="598"/>
      <c r="I98" s="634"/>
      <c r="J98" s="598"/>
      <c r="K98" s="598"/>
      <c r="L98" s="634">
        <f>IF(A81&lt;=$F$3,C98+F98-I98,0)</f>
        <v>0</v>
      </c>
      <c r="M98" s="598">
        <f>IF(A81&lt;=$F$3,D98+G98-J98,0)</f>
        <v>0</v>
      </c>
      <c r="N98" s="598">
        <f>IF(A81&lt;=$F$3,E98+H98-K98,0)</f>
        <v>0</v>
      </c>
      <c r="O98" s="635">
        <f>IF(A81&lt;=$F$3,F98*Q98+G98*R98+H98*S98,0)</f>
        <v>0</v>
      </c>
      <c r="P98" s="636">
        <f>IF(A81&lt;=$F$3,I98*Q98+J98*R98+K98*S98,0)</f>
        <v>0</v>
      </c>
      <c r="Q98" s="637">
        <f t="shared" si="43"/>
        <v>52550.000000000044</v>
      </c>
      <c r="R98" s="638">
        <f t="shared" si="43"/>
        <v>81020.160000000062</v>
      </c>
      <c r="S98" s="639">
        <f t="shared" si="43"/>
        <v>84960.160000000062</v>
      </c>
      <c r="T98" s="637">
        <f t="shared" ref="T98:T103" si="45">L98*$AH$6*AD$27</f>
        <v>0</v>
      </c>
      <c r="U98" s="640" t="e">
        <f>$AH$6*(1-AE$26)*((1+HLOOKUP($A$81,FC_Premissas!$D$5:$W$16,14,FALSE)^0.0833-1))*L98*12</f>
        <v>#REF!</v>
      </c>
      <c r="V98" s="638">
        <f t="shared" ref="V98:V103" si="46">M98*$AP$6*AL$27</f>
        <v>0</v>
      </c>
      <c r="W98" s="640" t="e">
        <f>$AP$6*(1-AM$26)*((1+HLOOKUP($A$81,FC_Premissas!$D$5:$W$16,14,FALSE))^0.0833-1)*M98*12</f>
        <v>#REF!</v>
      </c>
      <c r="X98" s="637">
        <f t="shared" ref="X98:X103" si="47">N98*$AX$6*AT$27</f>
        <v>0</v>
      </c>
      <c r="Y98" s="640" t="e">
        <f>$AX$6*(1-AU$26)*((1+HLOOKUP($A$81,FC_Premissas!$D$5:$W$16,14,FALSE))^0.0833-1)*N98*12</f>
        <v>#REF!</v>
      </c>
      <c r="Z98" s="638">
        <f t="shared" si="44"/>
        <v>0</v>
      </c>
      <c r="AA98" s="640" t="e">
        <f t="shared" si="44"/>
        <v>#REF!</v>
      </c>
      <c r="AB98" s="641"/>
    </row>
    <row r="99" spans="1:28" x14ac:dyDescent="0.2">
      <c r="A99" s="984"/>
      <c r="B99" s="633">
        <v>16</v>
      </c>
      <c r="C99" s="634">
        <f>IF(A81&lt;=$F$3,L73,0)</f>
        <v>0</v>
      </c>
      <c r="D99" s="598">
        <f>IF(A81&lt;=$F$3,M73,0)</f>
        <v>0</v>
      </c>
      <c r="E99" s="650">
        <f>IF(A81&lt;=$F$3,N73,0)</f>
        <v>0</v>
      </c>
      <c r="F99" s="634"/>
      <c r="G99" s="598"/>
      <c r="H99" s="598"/>
      <c r="I99" s="634"/>
      <c r="J99" s="598"/>
      <c r="K99" s="598"/>
      <c r="L99" s="634">
        <f>IF(A81&lt;=$F$3,C99+F99-I99,0)</f>
        <v>0</v>
      </c>
      <c r="M99" s="598">
        <f>IF(A81&lt;=$F$3,D99+G99-J99,0)</f>
        <v>0</v>
      </c>
      <c r="N99" s="598">
        <f>IF(A81&lt;=$F$3,E99+H99-K99,0)</f>
        <v>0</v>
      </c>
      <c r="O99" s="635">
        <f>IF(A81&lt;=$F$3,F99*Q99+G99*R99+H99*S99,0)</f>
        <v>0</v>
      </c>
      <c r="P99" s="636">
        <f>IF(A81&lt;=$F$3,I99*Q99+J99*R99+K99*S99,0)</f>
        <v>0</v>
      </c>
      <c r="Q99" s="637">
        <f t="shared" ref="Q99:S103" si="48">Q74</f>
        <v>52550.000000000044</v>
      </c>
      <c r="R99" s="638">
        <f t="shared" si="48"/>
        <v>81020.160000000062</v>
      </c>
      <c r="S99" s="639">
        <f t="shared" si="48"/>
        <v>84960.160000000062</v>
      </c>
      <c r="T99" s="637">
        <f t="shared" si="45"/>
        <v>0</v>
      </c>
      <c r="U99" s="640" t="e">
        <f>$AH$6*(1-AE$27)*((1+HLOOKUP($A$81,FC_Premissas!$D$5:$W$16,14,FALSE)^0.0833-1))*L99*12</f>
        <v>#REF!</v>
      </c>
      <c r="V99" s="638">
        <f t="shared" si="46"/>
        <v>0</v>
      </c>
      <c r="W99" s="640" t="e">
        <f>$AP$6*(1-AM$27)*((1+HLOOKUP($A$81,FC_Premissas!$D$5:$W$16,14,FALSE))^0.0833-1)*M99*12</f>
        <v>#REF!</v>
      </c>
      <c r="X99" s="637">
        <f t="shared" si="47"/>
        <v>0</v>
      </c>
      <c r="Y99" s="640" t="e">
        <f>$AX$6*(1-AU$27)*((1+HLOOKUP($A$81,FC_Premissas!$D$5:$W$16,14,FALSE))^0.0833-1)*N99*12</f>
        <v>#REF!</v>
      </c>
      <c r="Z99" s="638">
        <f t="shared" si="44"/>
        <v>0</v>
      </c>
      <c r="AA99" s="640" t="e">
        <f t="shared" si="44"/>
        <v>#REF!</v>
      </c>
      <c r="AB99" s="641"/>
    </row>
    <row r="100" spans="1:28" x14ac:dyDescent="0.2">
      <c r="A100" s="984"/>
      <c r="B100" s="633">
        <v>17</v>
      </c>
      <c r="C100" s="634">
        <f>IF(A81&lt;=$F$3,L74,0)</f>
        <v>0</v>
      </c>
      <c r="D100" s="598">
        <f>IF(A81&lt;=$F$3,M74,0)</f>
        <v>0</v>
      </c>
      <c r="E100" s="650">
        <f>IF(A81&lt;=$F$3,N74,0)</f>
        <v>0</v>
      </c>
      <c r="F100" s="634"/>
      <c r="G100" s="598"/>
      <c r="H100" s="598"/>
      <c r="I100" s="634"/>
      <c r="J100" s="598"/>
      <c r="K100" s="598"/>
      <c r="L100" s="634">
        <f>IF(A81&lt;=$F$3,C100+F100-I100,0)</f>
        <v>0</v>
      </c>
      <c r="M100" s="598">
        <f>IF(A81&lt;=$F$3,D100+G100-J100,0)</f>
        <v>0</v>
      </c>
      <c r="N100" s="598">
        <f>IF(A81&lt;=$F$3,E100+H100-K100,0)</f>
        <v>0</v>
      </c>
      <c r="O100" s="635">
        <f>IF(A81&lt;=$F$3,F100*Q100+G100*R100+H100*S100,0)</f>
        <v>0</v>
      </c>
      <c r="P100" s="636">
        <f>IF(A81&lt;=$F$3,I100*Q100+J100*R100+K100*S100,0)</f>
        <v>0</v>
      </c>
      <c r="Q100" s="637">
        <f t="shared" si="48"/>
        <v>52550.000000000044</v>
      </c>
      <c r="R100" s="638">
        <f t="shared" si="48"/>
        <v>81020.160000000062</v>
      </c>
      <c r="S100" s="639">
        <f t="shared" si="48"/>
        <v>84960.160000000062</v>
      </c>
      <c r="T100" s="637">
        <f t="shared" si="45"/>
        <v>0</v>
      </c>
      <c r="U100" s="640" t="e">
        <f>$AH$6*(1-AE$28)*((1+HLOOKUP($A$81,FC_Premissas!$D$5:$W$16,14,FALSE)^0.0833-1))*L100*12</f>
        <v>#REF!</v>
      </c>
      <c r="V100" s="638">
        <f t="shared" si="46"/>
        <v>0</v>
      </c>
      <c r="W100" s="640" t="e">
        <f>$AP$6*(1-AM$28)*((1+HLOOKUP($A$81,FC_Premissas!$D$5:$W$16,14,FALSE))^0.0833-1)*M100*12</f>
        <v>#REF!</v>
      </c>
      <c r="X100" s="637">
        <f t="shared" si="47"/>
        <v>0</v>
      </c>
      <c r="Y100" s="640" t="e">
        <f>$AX$6*(1-AU$28)*((1+HLOOKUP($A$81,FC_Premissas!$D$5:$W$16,14,FALSE))^0.0833-1)*N100*12</f>
        <v>#REF!</v>
      </c>
      <c r="Z100" s="638">
        <f t="shared" si="44"/>
        <v>0</v>
      </c>
      <c r="AA100" s="640" t="e">
        <f t="shared" si="44"/>
        <v>#REF!</v>
      </c>
      <c r="AB100" s="641"/>
    </row>
    <row r="101" spans="1:28" x14ac:dyDescent="0.2">
      <c r="A101" s="984"/>
      <c r="B101" s="633">
        <v>18</v>
      </c>
      <c r="C101" s="634">
        <f>IF(A81&lt;=$F$3,L75,0)</f>
        <v>0</v>
      </c>
      <c r="D101" s="598">
        <f>IF(A81&lt;=$F$3,M75,0)</f>
        <v>0</v>
      </c>
      <c r="E101" s="650">
        <f>IF(A81&lt;=$F$3,N75,0)</f>
        <v>0</v>
      </c>
      <c r="F101" s="634"/>
      <c r="G101" s="598"/>
      <c r="H101" s="598"/>
      <c r="I101" s="634"/>
      <c r="J101" s="598"/>
      <c r="K101" s="598"/>
      <c r="L101" s="634">
        <f>IF(A81&lt;=$F$3,C101+F101-I101,0)</f>
        <v>0</v>
      </c>
      <c r="M101" s="598">
        <f>IF(A81&lt;=$F$3,D101+G101-J101,0)</f>
        <v>0</v>
      </c>
      <c r="N101" s="598">
        <f>IF(A81&lt;=$F$3,E101+H101-K101,0)</f>
        <v>0</v>
      </c>
      <c r="O101" s="635">
        <f>IF(A81&lt;=$F$3,F101*Q101+G101*R101+H101*S101,0)</f>
        <v>0</v>
      </c>
      <c r="P101" s="636">
        <f>IF(A81&lt;=$F$3,I101*Q101+J101*R101+K101*S101,0)</f>
        <v>0</v>
      </c>
      <c r="Q101" s="637">
        <f t="shared" si="48"/>
        <v>52550.000000000044</v>
      </c>
      <c r="R101" s="638">
        <f t="shared" si="48"/>
        <v>81020.160000000062</v>
      </c>
      <c r="S101" s="639">
        <f t="shared" si="48"/>
        <v>84960.160000000062</v>
      </c>
      <c r="T101" s="637">
        <f t="shared" si="45"/>
        <v>0</v>
      </c>
      <c r="U101" s="640" t="e">
        <f>$AH$6*(1-AE$29)*((1+HLOOKUP($A$81,FC_Premissas!$D$5:$W$16,14,FALSE)^0.0833-1))*L101*12</f>
        <v>#REF!</v>
      </c>
      <c r="V101" s="638">
        <f t="shared" si="46"/>
        <v>0</v>
      </c>
      <c r="W101" s="640" t="e">
        <f>$AP$6*(1-AM$29)*((1+HLOOKUP($A$81,FC_Premissas!$D$5:$W$16,14,FALSE))^0.0833-1)*M101*12</f>
        <v>#REF!</v>
      </c>
      <c r="X101" s="637">
        <f t="shared" si="47"/>
        <v>0</v>
      </c>
      <c r="Y101" s="640" t="e">
        <f>$AX$6*(1-AU$29)*((1+HLOOKUP($A$81,FC_Premissas!$D$5:$W$16,14,FALSE))^0.0833-1)*N101*12</f>
        <v>#REF!</v>
      </c>
      <c r="Z101" s="638">
        <f t="shared" si="44"/>
        <v>0</v>
      </c>
      <c r="AA101" s="640" t="e">
        <f t="shared" si="44"/>
        <v>#REF!</v>
      </c>
      <c r="AB101" s="641"/>
    </row>
    <row r="102" spans="1:28" x14ac:dyDescent="0.2">
      <c r="A102" s="984"/>
      <c r="B102" s="633">
        <v>19</v>
      </c>
      <c r="C102" s="634">
        <f>IF(A81&lt;=$F$3,L76,0)</f>
        <v>0</v>
      </c>
      <c r="D102" s="598">
        <f>IF(A81&lt;=$F$3,M76,0)</f>
        <v>0</v>
      </c>
      <c r="E102" s="650">
        <f>IF(A81&lt;=$F$3,N76,0)</f>
        <v>0</v>
      </c>
      <c r="F102" s="634"/>
      <c r="G102" s="598"/>
      <c r="H102" s="598"/>
      <c r="I102" s="634"/>
      <c r="J102" s="598"/>
      <c r="K102" s="598"/>
      <c r="L102" s="634">
        <f>IF(A81&lt;=$F$3,C102+F102-I102,0)</f>
        <v>0</v>
      </c>
      <c r="M102" s="598">
        <f>IF(A81&lt;=$F$3,D102+G102-J102,0)</f>
        <v>0</v>
      </c>
      <c r="N102" s="598">
        <f>IF(A81&lt;=$F$3,E102+H102-K102,0)</f>
        <v>0</v>
      </c>
      <c r="O102" s="635">
        <f>IF(A81&lt;=$F$3,F102*Q102+G102*R102+H102*S102,0)</f>
        <v>0</v>
      </c>
      <c r="P102" s="636">
        <f>IF(A81&lt;=$F$3,I102*Q102+J102*R102+K102*S102,0)</f>
        <v>0</v>
      </c>
      <c r="Q102" s="637">
        <f t="shared" si="48"/>
        <v>52550.000000000044</v>
      </c>
      <c r="R102" s="638">
        <f t="shared" si="48"/>
        <v>81020.160000000062</v>
      </c>
      <c r="S102" s="639">
        <f t="shared" si="48"/>
        <v>84960.160000000062</v>
      </c>
      <c r="T102" s="637">
        <f t="shared" si="45"/>
        <v>0</v>
      </c>
      <c r="U102" s="640" t="e">
        <f>$AH$6*(1-AE$30)*((1+HLOOKUP($A$81,FC_Premissas!$D$5:$W$16,14,FALSE)^0.0833-1))*L102*12</f>
        <v>#REF!</v>
      </c>
      <c r="V102" s="638">
        <f t="shared" si="46"/>
        <v>0</v>
      </c>
      <c r="W102" s="640" t="e">
        <f>$AP$6*(1-AM$30)*((1+HLOOKUP($A$81,FC_Premissas!$D$5:$W$16,14,FALSE))^0.0833-1)*M102*12</f>
        <v>#REF!</v>
      </c>
      <c r="X102" s="637">
        <f t="shared" si="47"/>
        <v>0</v>
      </c>
      <c r="Y102" s="640" t="e">
        <f>$AX$6*(1-AU$30)*((1+HLOOKUP($A$81,FC_Premissas!$D$5:$W$16,14,FALSE))^0.0833-1)*N102*12</f>
        <v>#REF!</v>
      </c>
      <c r="Z102" s="638">
        <f t="shared" si="44"/>
        <v>0</v>
      </c>
      <c r="AA102" s="640" t="e">
        <f t="shared" si="44"/>
        <v>#REF!</v>
      </c>
      <c r="AB102" s="641"/>
    </row>
    <row r="103" spans="1:28" x14ac:dyDescent="0.2">
      <c r="A103" s="984"/>
      <c r="B103" s="633">
        <v>20</v>
      </c>
      <c r="C103" s="616">
        <f>IF(A81&lt;=$F$3,L77,0)</f>
        <v>0</v>
      </c>
      <c r="D103" s="617">
        <f>IF(A81&lt;=$F$3,M77,0)</f>
        <v>0</v>
      </c>
      <c r="E103" s="650">
        <f>IF(A81&lt;=$F$3,N77,0)</f>
        <v>0</v>
      </c>
      <c r="F103" s="616"/>
      <c r="G103" s="617"/>
      <c r="H103" s="598"/>
      <c r="I103" s="616"/>
      <c r="J103" s="617"/>
      <c r="K103" s="598"/>
      <c r="L103" s="616">
        <f>IF(A81&lt;=$F$3,C103+F103-I103,0)</f>
        <v>0</v>
      </c>
      <c r="M103" s="617">
        <f>IF(A81&lt;=$F$3,D103+G103-J103,0)</f>
        <v>0</v>
      </c>
      <c r="N103" s="598">
        <f>IF(A81&lt;=$F$3,E103+H103-K103,0)</f>
        <v>0</v>
      </c>
      <c r="O103" s="635">
        <f>IF(A81&lt;=$F$3,F103*Q103+G103*R103+H103*S103,0)</f>
        <v>0</v>
      </c>
      <c r="P103" s="636">
        <f>IF(A81&lt;=$F$3,I103*Q103+J103*R103+K103*S103,0)</f>
        <v>0</v>
      </c>
      <c r="Q103" s="651">
        <f t="shared" si="48"/>
        <v>52550.000000000044</v>
      </c>
      <c r="R103" s="652">
        <f t="shared" si="48"/>
        <v>81020.160000000062</v>
      </c>
      <c r="S103" s="653">
        <f t="shared" si="48"/>
        <v>84960.160000000062</v>
      </c>
      <c r="T103" s="651">
        <f t="shared" si="45"/>
        <v>0</v>
      </c>
      <c r="U103" s="654" t="e">
        <f>$AH$6*(1-AE$31)*((1+HLOOKUP($A$81,FC_Premissas!$D$5:$W$16,14,FALSE)^0.0833-1))*L103*12</f>
        <v>#REF!</v>
      </c>
      <c r="V103" s="652">
        <f t="shared" si="46"/>
        <v>0</v>
      </c>
      <c r="W103" s="640" t="e">
        <f>$AP$6*(1-AM$31)*((1+HLOOKUP($A$81,FC_Premissas!$D$5:$W$16,14,FALSE))^0.0833-1)*M103*12</f>
        <v>#REF!</v>
      </c>
      <c r="X103" s="651">
        <f t="shared" si="47"/>
        <v>0</v>
      </c>
      <c r="Y103" s="654" t="e">
        <f>$AX$6*(1-AU$31)*((1+HLOOKUP($A$81,FC_Premissas!$D$5:$W$16,14,FALSE))^0.0833-1)*N103*12</f>
        <v>#REF!</v>
      </c>
      <c r="Z103" s="652">
        <f t="shared" si="44"/>
        <v>0</v>
      </c>
      <c r="AA103" s="654" t="e">
        <f t="shared" si="44"/>
        <v>#REF!</v>
      </c>
      <c r="AB103" s="641"/>
    </row>
    <row r="104" spans="1:28" x14ac:dyDescent="0.2">
      <c r="A104" s="984"/>
      <c r="B104" s="655" t="s">
        <v>1228</v>
      </c>
      <c r="C104" s="656">
        <f t="shared" ref="C104:P104" si="49">SUM(C83:C103)</f>
        <v>0</v>
      </c>
      <c r="D104" s="657">
        <f t="shared" si="49"/>
        <v>0</v>
      </c>
      <c r="E104" s="658">
        <f t="shared" si="49"/>
        <v>11</v>
      </c>
      <c r="F104" s="656">
        <f t="shared" si="49"/>
        <v>0</v>
      </c>
      <c r="G104" s="657">
        <f t="shared" si="49"/>
        <v>0</v>
      </c>
      <c r="H104" s="658">
        <f t="shared" si="49"/>
        <v>0</v>
      </c>
      <c r="I104" s="656">
        <f t="shared" si="49"/>
        <v>0</v>
      </c>
      <c r="J104" s="657">
        <f t="shared" si="49"/>
        <v>0</v>
      </c>
      <c r="K104" s="658">
        <f t="shared" si="49"/>
        <v>0</v>
      </c>
      <c r="L104" s="656">
        <f t="shared" si="49"/>
        <v>0</v>
      </c>
      <c r="M104" s="657">
        <f t="shared" si="49"/>
        <v>0</v>
      </c>
      <c r="N104" s="657">
        <f t="shared" si="49"/>
        <v>11</v>
      </c>
      <c r="O104" s="659">
        <f t="shared" si="49"/>
        <v>0</v>
      </c>
      <c r="P104" s="660">
        <f t="shared" si="49"/>
        <v>0</v>
      </c>
      <c r="Q104" s="638"/>
      <c r="R104" s="638"/>
      <c r="S104" s="638"/>
      <c r="T104" s="661">
        <f t="shared" ref="T104:AA104" si="50">SUM(T83:T103)</f>
        <v>0</v>
      </c>
      <c r="U104" s="662" t="e">
        <f t="shared" si="50"/>
        <v>#REF!</v>
      </c>
      <c r="V104" s="663">
        <f t="shared" si="50"/>
        <v>0</v>
      </c>
      <c r="W104" s="662" t="e">
        <f t="shared" si="50"/>
        <v>#REF!</v>
      </c>
      <c r="X104" s="663">
        <f t="shared" si="50"/>
        <v>239359.94181818183</v>
      </c>
      <c r="Y104" s="662" t="e">
        <f t="shared" si="50"/>
        <v>#REF!</v>
      </c>
      <c r="Z104" s="663">
        <f t="shared" si="50"/>
        <v>239359.94181818183</v>
      </c>
      <c r="AA104" s="664" t="e">
        <f t="shared" si="50"/>
        <v>#REF!</v>
      </c>
      <c r="AB104" s="641"/>
    </row>
    <row r="105" spans="1:28" x14ac:dyDescent="0.2">
      <c r="A105" s="985"/>
      <c r="B105" s="977" t="s">
        <v>1229</v>
      </c>
      <c r="C105" s="977"/>
      <c r="D105" s="977"/>
      <c r="E105" s="666">
        <f>(L105*L104+M105*M104+N105*N104)/(L104+M104+N104)</f>
        <v>8</v>
      </c>
      <c r="F105" s="665" t="s">
        <v>140</v>
      </c>
      <c r="G105" s="665"/>
      <c r="H105" s="665"/>
      <c r="I105" s="665"/>
      <c r="J105" s="665"/>
      <c r="K105" s="665"/>
      <c r="L105" s="887">
        <f>IF(L104=0,0,(SUMPRODUCT(L83:L103,$B83:$B103)/L104))</f>
        <v>0</v>
      </c>
      <c r="M105" s="887">
        <f>IF(M104=0,0,(SUMPRODUCT(M83:M103,$B83:$B103)/M104))</f>
        <v>0</v>
      </c>
      <c r="N105" s="887">
        <f>IF(N104=0,0,ROUND(SUMPRODUCT(N83:N103,$B83:$B103)/N104,0))</f>
        <v>8</v>
      </c>
      <c r="O105" s="667"/>
      <c r="P105" s="668"/>
      <c r="Q105" s="638"/>
      <c r="R105" s="638"/>
      <c r="S105" s="638"/>
      <c r="T105" s="638"/>
      <c r="U105" s="669"/>
      <c r="V105" s="638"/>
      <c r="W105" s="669"/>
      <c r="X105" s="638"/>
      <c r="Y105" s="669"/>
      <c r="Z105" s="638"/>
      <c r="AA105" s="669"/>
    </row>
    <row r="106" spans="1:28" ht="12.75" customHeight="1" x14ac:dyDescent="0.2">
      <c r="A106" s="983">
        <f>A81+1</f>
        <v>5</v>
      </c>
      <c r="B106" s="986" t="s">
        <v>1077</v>
      </c>
      <c r="C106" s="988" t="s">
        <v>1202</v>
      </c>
      <c r="D106" s="989"/>
      <c r="E106" s="990"/>
      <c r="F106" s="991" t="s">
        <v>1203</v>
      </c>
      <c r="G106" s="992"/>
      <c r="H106" s="993"/>
      <c r="I106" s="991" t="s">
        <v>1204</v>
      </c>
      <c r="J106" s="992"/>
      <c r="K106" s="993"/>
      <c r="L106" s="991" t="s">
        <v>1205</v>
      </c>
      <c r="M106" s="992"/>
      <c r="N106" s="992"/>
      <c r="O106" s="978" t="s">
        <v>1206</v>
      </c>
      <c r="P106" s="979"/>
      <c r="Q106" s="980" t="s">
        <v>1207</v>
      </c>
      <c r="R106" s="981"/>
      <c r="S106" s="982"/>
      <c r="T106" s="607" t="s">
        <v>1208</v>
      </c>
      <c r="U106" s="609" t="s">
        <v>1209</v>
      </c>
      <c r="V106" s="608" t="s">
        <v>1210</v>
      </c>
      <c r="W106" s="610" t="s">
        <v>1211</v>
      </c>
      <c r="X106" s="607" t="s">
        <v>1210</v>
      </c>
      <c r="Y106" s="609" t="s">
        <v>1211</v>
      </c>
      <c r="Z106" s="607" t="s">
        <v>1210</v>
      </c>
      <c r="AA106" s="609" t="s">
        <v>1211</v>
      </c>
    </row>
    <row r="107" spans="1:28" x14ac:dyDescent="0.2">
      <c r="A107" s="984"/>
      <c r="B107" s="987"/>
      <c r="C107" s="616" t="str">
        <f>$C$7</f>
        <v>Mini</v>
      </c>
      <c r="D107" s="617" t="str">
        <f>$D$7</f>
        <v>Midi</v>
      </c>
      <c r="E107" s="617" t="str">
        <f>$E$7</f>
        <v>Básico</v>
      </c>
      <c r="F107" s="616" t="str">
        <f>$C$7</f>
        <v>Mini</v>
      </c>
      <c r="G107" s="617" t="str">
        <f>$D$7</f>
        <v>Midi</v>
      </c>
      <c r="H107" s="617" t="str">
        <f>$E$7</f>
        <v>Básico</v>
      </c>
      <c r="I107" s="616" t="str">
        <f>$C$7</f>
        <v>Mini</v>
      </c>
      <c r="J107" s="617" t="str">
        <f>$D$7</f>
        <v>Midi</v>
      </c>
      <c r="K107" s="617" t="str">
        <f>$E$7</f>
        <v>Básico</v>
      </c>
      <c r="L107" s="616" t="str">
        <f>$C$7</f>
        <v>Mini</v>
      </c>
      <c r="M107" s="617" t="str">
        <f>$D$7</f>
        <v>Midi</v>
      </c>
      <c r="N107" s="617" t="str">
        <f>$E$7</f>
        <v>Básico</v>
      </c>
      <c r="O107" s="667" t="s">
        <v>1203</v>
      </c>
      <c r="P107" s="668" t="s">
        <v>1204</v>
      </c>
      <c r="Q107" s="620" t="str">
        <f>C107</f>
        <v>Mini</v>
      </c>
      <c r="R107" s="621" t="str">
        <f>D107</f>
        <v>Midi</v>
      </c>
      <c r="S107" s="622" t="str">
        <f>E107</f>
        <v>Básico</v>
      </c>
      <c r="T107" s="623" t="str">
        <f>C107</f>
        <v>Mini</v>
      </c>
      <c r="U107" s="624" t="str">
        <f>C107</f>
        <v>Mini</v>
      </c>
      <c r="V107" s="625" t="str">
        <f>D107</f>
        <v>Midi</v>
      </c>
      <c r="W107" s="626" t="str">
        <f>D107</f>
        <v>Midi</v>
      </c>
      <c r="X107" s="623" t="str">
        <f>E107</f>
        <v>Básico</v>
      </c>
      <c r="Y107" s="624" t="str">
        <f>E107</f>
        <v>Básico</v>
      </c>
      <c r="Z107" s="627" t="s">
        <v>1218</v>
      </c>
      <c r="AA107" s="628" t="s">
        <v>1218</v>
      </c>
    </row>
    <row r="108" spans="1:28" x14ac:dyDescent="0.2">
      <c r="A108" s="984"/>
      <c r="B108" s="633">
        <v>0</v>
      </c>
      <c r="C108" s="634">
        <v>0</v>
      </c>
      <c r="F108" s="965"/>
      <c r="G108" s="966"/>
      <c r="H108" s="675"/>
      <c r="I108" s="598"/>
      <c r="J108" s="598"/>
      <c r="K108" s="676"/>
      <c r="L108" s="634">
        <f>IF(A106&lt;=$F$3,C108+F108-I108,0)</f>
        <v>0</v>
      </c>
      <c r="M108" s="598">
        <f>IF(A106&lt;=$F$3,D108+G108-J108,0)</f>
        <v>0</v>
      </c>
      <c r="N108" s="598">
        <f>IF(A106&lt;=$F$3,E108+H108-K108,0)</f>
        <v>0</v>
      </c>
      <c r="O108" s="635">
        <f>IF(A106&lt;=$F$3,F108*Q108+G108*R108+H108*S108,0)</f>
        <v>0</v>
      </c>
      <c r="P108" s="636">
        <f>IF(A106&lt;=$F$3,I108*Q108+J108*R108+K108*S108,0)</f>
        <v>0</v>
      </c>
      <c r="Q108" s="637">
        <f t="shared" ref="Q108:S123" si="51">Q83</f>
        <v>525500</v>
      </c>
      <c r="R108" s="638">
        <f t="shared" si="51"/>
        <v>703800</v>
      </c>
      <c r="S108" s="639">
        <f t="shared" si="51"/>
        <v>743200</v>
      </c>
      <c r="T108" s="637">
        <f>L108*$AH$6*AD$12</f>
        <v>0</v>
      </c>
      <c r="U108" s="640" t="e">
        <f>$AH$6*(1-AE$11)*((1+HLOOKUP($A$106,FC_Premissas!$D$5:$W$16,14,FALSE)^0.0833-1))*L108*12</f>
        <v>#REF!</v>
      </c>
      <c r="V108" s="638">
        <f>M108*$AP$6*AL$12</f>
        <v>0</v>
      </c>
      <c r="W108" s="669" t="e">
        <f>$AP$6*(1-AM$11)*((1+HLOOKUP($A$106,FC_Premissas!$D$5:$W$16,14,FALSE)^0.0833-1))*M108*12</f>
        <v>#REF!</v>
      </c>
      <c r="X108" s="637">
        <f>N108*$AX$6*AT$12</f>
        <v>0</v>
      </c>
      <c r="Y108" s="640" t="e">
        <f>$AX$6*(1-AU$11)*((1+HLOOKUP($A$106,FC_Premissas!$D$5:$W$16,14,FALSE)^0.0833-1))*N108*12</f>
        <v>#REF!</v>
      </c>
      <c r="Z108" s="638">
        <f t="shared" ref="Z108:AA128" si="52">T108+V108+X108</f>
        <v>0</v>
      </c>
      <c r="AA108" s="669" t="e">
        <f t="shared" si="52"/>
        <v>#REF!</v>
      </c>
      <c r="AB108" s="641"/>
    </row>
    <row r="109" spans="1:28" x14ac:dyDescent="0.2">
      <c r="A109" s="984"/>
      <c r="B109" s="633">
        <v>1</v>
      </c>
      <c r="C109" s="634">
        <f>IF(A106&lt;=$F$3,L83,0)</f>
        <v>0</v>
      </c>
      <c r="D109" s="598">
        <f>IF(A106&lt;=$F$3,M83,0)</f>
        <v>0</v>
      </c>
      <c r="E109" s="598">
        <f>IF(A106&lt;=$F$3,N83,0)</f>
        <v>0</v>
      </c>
      <c r="F109" s="634"/>
      <c r="G109" s="598"/>
      <c r="H109" s="677"/>
      <c r="I109" s="598"/>
      <c r="J109" s="598"/>
      <c r="K109" s="676"/>
      <c r="L109" s="634">
        <f>IF(A106&lt;=$F$3,C109+F109-I109,0)</f>
        <v>0</v>
      </c>
      <c r="M109" s="598">
        <f>IF(A106&lt;=$F$3,D109+G109-J109,0)</f>
        <v>0</v>
      </c>
      <c r="N109" s="598">
        <f>IF(A106&lt;=$F$3,E109+H109-K109,0)</f>
        <v>0</v>
      </c>
      <c r="O109" s="635">
        <f>IF(A106&lt;=$F$3,F109*Q109+G109*R109+H109*S109,0)</f>
        <v>0</v>
      </c>
      <c r="P109" s="636">
        <f>IF(A106&lt;=$F$3,I109*Q109+J109*R109+K109*S109,0)</f>
        <v>0</v>
      </c>
      <c r="Q109" s="637">
        <f t="shared" si="51"/>
        <v>439509.09090909094</v>
      </c>
      <c r="R109" s="638">
        <f t="shared" si="51"/>
        <v>590567.30181818188</v>
      </c>
      <c r="S109" s="639">
        <f t="shared" si="51"/>
        <v>623520.02909090917</v>
      </c>
      <c r="T109" s="637">
        <f>L109*$AH$6*AD$13</f>
        <v>0</v>
      </c>
      <c r="U109" s="640" t="e">
        <f>$AH$6*(1-AE$12)*((1+HLOOKUP($A$106,FC_Premissas!$D$5:$W$16,14,FALSE)^0.0833-1))*L109*12</f>
        <v>#REF!</v>
      </c>
      <c r="V109" s="638">
        <f>M109*$AP$6*AL$13</f>
        <v>0</v>
      </c>
      <c r="W109" s="669" t="e">
        <f>$AP$6*(1-AM$12)*((1+HLOOKUP($A$106,FC_Premissas!$D$5:$W$16,14,FALSE))^0.0833-1)*M109*12</f>
        <v>#REF!</v>
      </c>
      <c r="X109" s="637">
        <f>N109*$AX$6*AT$13</f>
        <v>0</v>
      </c>
      <c r="Y109" s="640" t="e">
        <f>$AX$6*(1-AU$12)*((1+HLOOKUP($A$106,FC_Premissas!$D$5:$W$16,14,FALSE))^0.0833-1)*N109*12</f>
        <v>#REF!</v>
      </c>
      <c r="Z109" s="638">
        <f t="shared" si="52"/>
        <v>0</v>
      </c>
      <c r="AA109" s="669" t="e">
        <f t="shared" si="52"/>
        <v>#REF!</v>
      </c>
      <c r="AB109" s="641"/>
    </row>
    <row r="110" spans="1:28" x14ac:dyDescent="0.2">
      <c r="A110" s="984"/>
      <c r="B110" s="633">
        <v>2</v>
      </c>
      <c r="C110" s="634">
        <f>IF(A106&lt;=$F$3,L84,0)</f>
        <v>0</v>
      </c>
      <c r="D110" s="598">
        <f>IF(A106&lt;=$F$3,M84,0)</f>
        <v>0</v>
      </c>
      <c r="E110" s="598">
        <f>IF(A106&lt;=$F$3,N84,0)</f>
        <v>0</v>
      </c>
      <c r="F110" s="634"/>
      <c r="G110" s="598"/>
      <c r="H110" s="677"/>
      <c r="I110" s="598"/>
      <c r="J110" s="598"/>
      <c r="K110" s="676"/>
      <c r="L110" s="634">
        <f>IF(A106&lt;=$F$3,C110+F110-I110,0)</f>
        <v>0</v>
      </c>
      <c r="M110" s="598">
        <f>IF(A106&lt;=$F$3,D110+G110-J110,0)</f>
        <v>0</v>
      </c>
      <c r="N110" s="598">
        <f>IF(A106&lt;=$F$3,E110+H110-K110,0)</f>
        <v>0</v>
      </c>
      <c r="O110" s="635">
        <f>IF(A106&lt;=$F$3,F110*Q110+G110*R110+H110*S110,0)</f>
        <v>0</v>
      </c>
      <c r="P110" s="636">
        <f>IF(A106&lt;=$F$3,I110*Q110+J110*R110+K110*S110,0)</f>
        <v>0</v>
      </c>
      <c r="Q110" s="637">
        <f t="shared" si="51"/>
        <v>362117.27272727271</v>
      </c>
      <c r="R110" s="638">
        <f t="shared" si="51"/>
        <v>488657.87345454545</v>
      </c>
      <c r="S110" s="639">
        <f t="shared" si="51"/>
        <v>515808.05527272727</v>
      </c>
      <c r="T110" s="637">
        <f>L110*$AH$6*AD$14</f>
        <v>0</v>
      </c>
      <c r="U110" s="640" t="e">
        <f>$AH$6*(1-AE$13)*((1+HLOOKUP($A$106,FC_Premissas!$D$5:$W$16,14,FALSE)^0.0833-1))*L110*12</f>
        <v>#REF!</v>
      </c>
      <c r="V110" s="638">
        <f>M110*$AP$6*AL$14</f>
        <v>0</v>
      </c>
      <c r="W110" s="669" t="e">
        <f>$AP$6*(1-AM$13)*((1+HLOOKUP($A$106,FC_Premissas!$D$5:$W$16,14,FALSE))^0.0833-1)*M110*12</f>
        <v>#REF!</v>
      </c>
      <c r="X110" s="637">
        <f>N110*$AX$6*AT$14</f>
        <v>0</v>
      </c>
      <c r="Y110" s="640" t="e">
        <f>$AX$6*(1-AU$13)*((1+HLOOKUP($A$106,FC_Premissas!$D$5:$W$16,14,FALSE))^0.0833-1)*N110*12</f>
        <v>#REF!</v>
      </c>
      <c r="Z110" s="638">
        <f t="shared" si="52"/>
        <v>0</v>
      </c>
      <c r="AA110" s="669" t="e">
        <f t="shared" si="52"/>
        <v>#REF!</v>
      </c>
      <c r="AB110" s="641"/>
    </row>
    <row r="111" spans="1:28" x14ac:dyDescent="0.2">
      <c r="A111" s="984"/>
      <c r="B111" s="633">
        <v>3</v>
      </c>
      <c r="C111" s="634">
        <f>IF(A106&lt;=$F$3,L85,0)</f>
        <v>0</v>
      </c>
      <c r="D111" s="598">
        <f>IF(A106&lt;=$F$3,M85,0)</f>
        <v>0</v>
      </c>
      <c r="E111" s="598">
        <f>IF(A106&lt;=$F$3,N85,0)</f>
        <v>0</v>
      </c>
      <c r="F111" s="634"/>
      <c r="G111" s="598"/>
      <c r="H111" s="677"/>
      <c r="I111" s="598"/>
      <c r="J111" s="598"/>
      <c r="K111" s="676"/>
      <c r="L111" s="634">
        <f>IF(A106&lt;=$F$3,C111+F111-I111,0)</f>
        <v>0</v>
      </c>
      <c r="M111" s="598">
        <f>IF(A106&lt;=$F$3,D111+G111-J111,0)</f>
        <v>0</v>
      </c>
      <c r="N111" s="598">
        <f>IF(A106&lt;=$F$3,E111+H111-K111,0)</f>
        <v>0</v>
      </c>
      <c r="O111" s="635">
        <f>IF(A106&lt;=$F$3,F111*Q111+G111*R111+H111*S111,0)</f>
        <v>0</v>
      </c>
      <c r="P111" s="636">
        <f>IF(A106&lt;=$F$3,I111*Q111+J111*R111+K111*S111,0)</f>
        <v>0</v>
      </c>
      <c r="Q111" s="637">
        <f t="shared" si="51"/>
        <v>293324.54545454541</v>
      </c>
      <c r="R111" s="638">
        <f t="shared" si="51"/>
        <v>398071.71490909089</v>
      </c>
      <c r="S111" s="639">
        <f t="shared" si="51"/>
        <v>420064.07854545448</v>
      </c>
      <c r="T111" s="637">
        <f>L111*$AH$6*AD$15</f>
        <v>0</v>
      </c>
      <c r="U111" s="640" t="e">
        <f>$AH$6*(1-AE$14)*((1+HLOOKUP($A$106,FC_Premissas!$D$5:$W$16,14,FALSE)^0.0833-1))*L111*12</f>
        <v>#REF!</v>
      </c>
      <c r="V111" s="638">
        <f>M111*$AP$6*AL$15</f>
        <v>0</v>
      </c>
      <c r="W111" s="669" t="e">
        <f>$AP$6*(1-AM$14)*((1+HLOOKUP($A$106,FC_Premissas!$D$5:$W$16,14,FALSE))^0.0833-1)*M111*12</f>
        <v>#REF!</v>
      </c>
      <c r="X111" s="637">
        <f>N111*$AX$6*AT$15</f>
        <v>0</v>
      </c>
      <c r="Y111" s="640" t="e">
        <f>$AX$6*(1-AU$14)*((1+HLOOKUP($A$106,FC_Premissas!$D$5:$W$16,14,FALSE))^0.0833-1)*N111*12</f>
        <v>#REF!</v>
      </c>
      <c r="Z111" s="638">
        <f t="shared" si="52"/>
        <v>0</v>
      </c>
      <c r="AA111" s="669" t="e">
        <f t="shared" si="52"/>
        <v>#REF!</v>
      </c>
      <c r="AB111" s="641"/>
    </row>
    <row r="112" spans="1:28" x14ac:dyDescent="0.2">
      <c r="A112" s="984"/>
      <c r="B112" s="633">
        <v>4</v>
      </c>
      <c r="C112" s="634">
        <f>IF(A106&lt;=$F$3,L86,0)</f>
        <v>0</v>
      </c>
      <c r="D112" s="598">
        <f>IF(A106&lt;=$F$3,M86,0)</f>
        <v>0</v>
      </c>
      <c r="E112" s="598">
        <f>IF(A106&lt;=$F$3,N86,0)</f>
        <v>0</v>
      </c>
      <c r="F112" s="634"/>
      <c r="G112" s="598"/>
      <c r="H112" s="677"/>
      <c r="I112" s="598"/>
      <c r="J112" s="598"/>
      <c r="K112" s="676"/>
      <c r="L112" s="634">
        <f>IF(A106&lt;=$F$3,C112+F112-I112,0)</f>
        <v>0</v>
      </c>
      <c r="M112" s="598">
        <f>IF(A106&lt;=$F$3,D112+G112-J112,0)</f>
        <v>0</v>
      </c>
      <c r="N112" s="598">
        <f>IF(A106&lt;=$F$3,E112+H112-K112,0)</f>
        <v>0</v>
      </c>
      <c r="O112" s="635">
        <f>IF(A106&lt;=$F$3,F112*Q112+G112*R112+H112*S112,0)</f>
        <v>0</v>
      </c>
      <c r="P112" s="636">
        <f>IF(A106&lt;=$F$3,I112*Q112+J112*R112+K112*S112,0)</f>
        <v>0</v>
      </c>
      <c r="Q112" s="637">
        <f t="shared" si="51"/>
        <v>233130.90909090909</v>
      </c>
      <c r="R112" s="638">
        <f t="shared" si="51"/>
        <v>318808.82618181815</v>
      </c>
      <c r="S112" s="639">
        <f t="shared" si="51"/>
        <v>336288.09890909091</v>
      </c>
      <c r="T112" s="637">
        <f>L112*$AH$6*AD$16</f>
        <v>0</v>
      </c>
      <c r="U112" s="640" t="e">
        <f>$AH$6*(1-AE$15)*((1+HLOOKUP($A$106,FC_Premissas!$D$5:$W$16,14,FALSE)^0.0833-1))*L112*12</f>
        <v>#REF!</v>
      </c>
      <c r="V112" s="638">
        <f>M112*$AP$6*AL$16</f>
        <v>0</v>
      </c>
      <c r="W112" s="669" t="e">
        <f>$AP$6*(1-AM$15)*((1+HLOOKUP($A$106,FC_Premissas!$D$5:$W$16,14,FALSE))^0.0833-1)*M112*12</f>
        <v>#REF!</v>
      </c>
      <c r="X112" s="637">
        <f>N112*$AX$6*AT$16</f>
        <v>0</v>
      </c>
      <c r="Y112" s="640" t="e">
        <f>$AX$6*(1-AU$15)*((1+HLOOKUP($A$106,FC_Premissas!$D$5:$W$16,14,FALSE))^0.0833-1)*N112*12</f>
        <v>#REF!</v>
      </c>
      <c r="Z112" s="638">
        <f t="shared" si="52"/>
        <v>0</v>
      </c>
      <c r="AA112" s="669" t="e">
        <f t="shared" si="52"/>
        <v>#REF!</v>
      </c>
      <c r="AB112" s="641"/>
    </row>
    <row r="113" spans="1:28" ht="10.5" customHeight="1" x14ac:dyDescent="0.2">
      <c r="A113" s="984"/>
      <c r="B113" s="633">
        <v>5</v>
      </c>
      <c r="C113" s="634">
        <f>IF(A106&lt;=$F$3,L87,0)</f>
        <v>0</v>
      </c>
      <c r="D113" s="598">
        <f>IF(A106&lt;=$F$3,M87,0)</f>
        <v>0</v>
      </c>
      <c r="E113" s="598">
        <f>IF(A106&lt;=$F$3,N87,0)</f>
        <v>0</v>
      </c>
      <c r="F113" s="634"/>
      <c r="G113" s="598"/>
      <c r="H113" s="677">
        <v>3</v>
      </c>
      <c r="I113" s="598"/>
      <c r="J113" s="598"/>
      <c r="K113" s="676"/>
      <c r="L113" s="634">
        <f>IF(A106&lt;=$F$3,C113+F113-I113,0)</f>
        <v>0</v>
      </c>
      <c r="M113" s="598">
        <f>IF(A106&lt;=$F$3,D113+G113-J113,0)</f>
        <v>0</v>
      </c>
      <c r="N113" s="598">
        <f>IF(A106&lt;=$F$3,E113+H113-K113,0)</f>
        <v>3</v>
      </c>
      <c r="O113" s="635">
        <f>IF(A106&lt;=$F$3,F113*Q113+G113*R113+H113*S113,0)</f>
        <v>793440.34909090912</v>
      </c>
      <c r="P113" s="636">
        <f>IF(A106&lt;=$F$3,I113*Q113+J113*R113+K113*S113,0)</f>
        <v>0</v>
      </c>
      <c r="Q113" s="637">
        <f t="shared" si="51"/>
        <v>181536.36363636365</v>
      </c>
      <c r="R113" s="638">
        <f t="shared" si="51"/>
        <v>250869.20727272728</v>
      </c>
      <c r="S113" s="639">
        <f t="shared" si="51"/>
        <v>264480.11636363639</v>
      </c>
      <c r="T113" s="637">
        <f>L113*$AH$6*AD$17</f>
        <v>0</v>
      </c>
      <c r="U113" s="640" t="e">
        <f>$AH$6*(1-AE$16)*((1+HLOOKUP($A$106,FC_Premissas!$D$5:$W$16,14,FALSE)^0.0833-1))*L113*12</f>
        <v>#REF!</v>
      </c>
      <c r="V113" s="638">
        <f>M113*$AP$6*AL$17</f>
        <v>0</v>
      </c>
      <c r="W113" s="669" t="e">
        <f>$AP$6*(1-AM$16)*((1+HLOOKUP($A$106,FC_Premissas!$D$5:$W$16,14,FALSE))^0.0833-1)*M113*12</f>
        <v>#REF!</v>
      </c>
      <c r="X113" s="637">
        <f>N113*$AX$6*AT$17</f>
        <v>179519.95636363636</v>
      </c>
      <c r="Y113" s="640" t="e">
        <f>$AX$6*(1-AU$16)*((1+HLOOKUP($A$106,FC_Premissas!$D$5:$W$16,14,FALSE))^0.0833-1)*N113*12</f>
        <v>#REF!</v>
      </c>
      <c r="Z113" s="638">
        <f t="shared" si="52"/>
        <v>179519.95636363636</v>
      </c>
      <c r="AA113" s="669" t="e">
        <f t="shared" si="52"/>
        <v>#REF!</v>
      </c>
      <c r="AB113" s="641"/>
    </row>
    <row r="114" spans="1:28" x14ac:dyDescent="0.2">
      <c r="A114" s="984"/>
      <c r="B114" s="633">
        <v>6</v>
      </c>
      <c r="C114" s="634">
        <f>IF(A106&lt;=$F$3,L88,0)</f>
        <v>0</v>
      </c>
      <c r="D114" s="598">
        <f>IF(A106&lt;=$F$3,M88,0)</f>
        <v>0</v>
      </c>
      <c r="E114" s="598">
        <f>IF(A106&lt;=$F$3,N88,0)</f>
        <v>0</v>
      </c>
      <c r="F114" s="634"/>
      <c r="G114" s="598"/>
      <c r="H114" s="650"/>
      <c r="I114" s="598"/>
      <c r="J114" s="598"/>
      <c r="K114" s="676"/>
      <c r="L114" s="634">
        <f>IF(A106&lt;=$F$3,C114+F114-I114,0)</f>
        <v>0</v>
      </c>
      <c r="M114" s="598">
        <f>IF(A106&lt;=$F$3,D114+G114-J114,0)</f>
        <v>0</v>
      </c>
      <c r="N114" s="598">
        <f>IF(A106&lt;=$F$3,E114+H114-K114,0)</f>
        <v>0</v>
      </c>
      <c r="O114" s="635">
        <f>IF(A106&lt;=$F$3,F114*Q114+G114*R114+H114*S114,0)</f>
        <v>0</v>
      </c>
      <c r="P114" s="636">
        <f>IF(A106&lt;=$F$3,I114*Q114+J114*R114+K114*S114,0)</f>
        <v>0</v>
      </c>
      <c r="Q114" s="637">
        <f t="shared" si="51"/>
        <v>138540.90909090912</v>
      </c>
      <c r="R114" s="638">
        <f t="shared" si="51"/>
        <v>194252.85818181818</v>
      </c>
      <c r="S114" s="639">
        <f t="shared" si="51"/>
        <v>204640.13090909092</v>
      </c>
      <c r="T114" s="637">
        <f>L114*$AH$6*AD$18</f>
        <v>0</v>
      </c>
      <c r="U114" s="640" t="e">
        <f>$AH$6*(1-AE$17)*((1+HLOOKUP($A$106,FC_Premissas!$D$5:$W$16,14,FALSE)^0.0833-1))*L114*12</f>
        <v>#REF!</v>
      </c>
      <c r="V114" s="638">
        <f>M114*$AP$6*AL$18</f>
        <v>0</v>
      </c>
      <c r="W114" s="669" t="e">
        <f>$AP$6*(1-AM$17)*((1+HLOOKUP($A$106,FC_Premissas!$D$5:$W$16,14,FALSE))^0.0833-1)*M114*12</f>
        <v>#REF!</v>
      </c>
      <c r="X114" s="637">
        <f>N114*$AX$6*AT$18</f>
        <v>0</v>
      </c>
      <c r="Y114" s="640" t="e">
        <f>$AX$6*(1-AU$17)*((1+HLOOKUP($A$106,FC_Premissas!$D$5:$W$16,14,FALSE))^0.0833-1)*N114*12</f>
        <v>#REF!</v>
      </c>
      <c r="Z114" s="638">
        <f t="shared" si="52"/>
        <v>0</v>
      </c>
      <c r="AA114" s="669" t="e">
        <f t="shared" si="52"/>
        <v>#REF!</v>
      </c>
      <c r="AB114" s="641"/>
    </row>
    <row r="115" spans="1:28" x14ac:dyDescent="0.2">
      <c r="A115" s="984"/>
      <c r="B115" s="633">
        <v>7</v>
      </c>
      <c r="C115" s="634">
        <f>IF(A106&lt;=$F$3,L89,0)</f>
        <v>0</v>
      </c>
      <c r="D115" s="598">
        <f>IF(A106&lt;=$F$3,M89,0)</f>
        <v>0</v>
      </c>
      <c r="E115" s="598">
        <f>IF(A106&lt;=$F$3,N89,0)</f>
        <v>3</v>
      </c>
      <c r="F115" s="634"/>
      <c r="G115" s="598"/>
      <c r="H115" s="650"/>
      <c r="I115" s="598"/>
      <c r="J115" s="598"/>
      <c r="K115" s="676"/>
      <c r="L115" s="634">
        <f>IF(A106&lt;=$F$3,C115+F115-I115,0)</f>
        <v>0</v>
      </c>
      <c r="M115" s="598">
        <f>IF(A106&lt;=$F$3,D115+G115-J115,0)</f>
        <v>0</v>
      </c>
      <c r="N115" s="598">
        <f>IF(A106&lt;=$F$3,E115+H115-K115,0)</f>
        <v>3</v>
      </c>
      <c r="O115" s="635">
        <f>IF(A106&lt;=$F$3,F115*Q115+G115*R115+H115*S115,0)</f>
        <v>0</v>
      </c>
      <c r="P115" s="636">
        <f>IF(A106&lt;=$F$3,I115*Q115+J115*R115+K115*S115,0)</f>
        <v>0</v>
      </c>
      <c r="Q115" s="637">
        <f t="shared" si="51"/>
        <v>104144.54545454548</v>
      </c>
      <c r="R115" s="638">
        <f t="shared" si="51"/>
        <v>148959.77890909094</v>
      </c>
      <c r="S115" s="639">
        <f t="shared" si="51"/>
        <v>156768.14254545458</v>
      </c>
      <c r="T115" s="637">
        <f>L115*$AH$6*AD$19</f>
        <v>0</v>
      </c>
      <c r="U115" s="640" t="e">
        <f>$AH$6*(1-AE$18)*((1+HLOOKUP($A$106,FC_Premissas!$D$5:$W$16,14,FALSE)^0.0833-1))*L115*12</f>
        <v>#REF!</v>
      </c>
      <c r="V115" s="638">
        <f>M115*$AP$6*AL$19</f>
        <v>0</v>
      </c>
      <c r="W115" s="669" t="e">
        <f>$AP$6*(1-AM$18)*((1+HLOOKUP($A$106,FC_Premissas!$D$5:$W$16,14,FALSE))^0.0833-1)*M115*12</f>
        <v>#REF!</v>
      </c>
      <c r="X115" s="637">
        <f>N115*$AX$6*AT$19</f>
        <v>107711.97381818182</v>
      </c>
      <c r="Y115" s="640" t="e">
        <f>$AX$6*(1-AU$18)*((1+HLOOKUP($A$106,FC_Premissas!$D$5:$W$16,14,FALSE))^0.0833-1)*N115*12</f>
        <v>#REF!</v>
      </c>
      <c r="Z115" s="638">
        <f t="shared" si="52"/>
        <v>107711.97381818182</v>
      </c>
      <c r="AA115" s="669" t="e">
        <f t="shared" si="52"/>
        <v>#REF!</v>
      </c>
      <c r="AB115" s="641"/>
    </row>
    <row r="116" spans="1:28" x14ac:dyDescent="0.2">
      <c r="A116" s="984"/>
      <c r="B116" s="633">
        <v>8</v>
      </c>
      <c r="C116" s="634">
        <f>IF(A106&lt;=$F$3,L90,0)</f>
        <v>0</v>
      </c>
      <c r="D116" s="598">
        <f>IF(A106&lt;=$F$3,M90,0)</f>
        <v>0</v>
      </c>
      <c r="E116" s="598">
        <f>IF(A106&lt;=$F$3,N90,0)</f>
        <v>0</v>
      </c>
      <c r="F116" s="634"/>
      <c r="G116" s="598"/>
      <c r="H116" s="650"/>
      <c r="I116" s="598"/>
      <c r="J116" s="598"/>
      <c r="K116" s="676"/>
      <c r="L116" s="634">
        <f>IF(A106&lt;=$F$3,C116+F116-I116,0)</f>
        <v>0</v>
      </c>
      <c r="M116" s="598">
        <f>IF(A106&lt;=$F$3,D116+G116-J116,0)</f>
        <v>0</v>
      </c>
      <c r="N116" s="598">
        <f>IF(A106&lt;=$F$3,E116+H116-K116,0)</f>
        <v>0</v>
      </c>
      <c r="O116" s="635">
        <f>IF(A106&lt;=$F$3,F116*Q116+G116*R116+H116*S116,0)</f>
        <v>0</v>
      </c>
      <c r="P116" s="636">
        <f>IF(A106&lt;=$F$3,I116*Q116+J116*R116+K116*S116,0)</f>
        <v>0</v>
      </c>
      <c r="Q116" s="637">
        <f t="shared" si="51"/>
        <v>78347.272727272764</v>
      </c>
      <c r="R116" s="638">
        <f t="shared" si="51"/>
        <v>114989.9694545455</v>
      </c>
      <c r="S116" s="639">
        <f t="shared" si="51"/>
        <v>120864.15127272732</v>
      </c>
      <c r="T116" s="637">
        <f>L116*$AH$6*AD$20</f>
        <v>0</v>
      </c>
      <c r="U116" s="640" t="e">
        <f>$AH$6*(1-AE$19)*((1+HLOOKUP($A$106,FC_Premissas!$D$5:$W$16,14,FALSE)^0.0833-1))*L116*12</f>
        <v>#REF!</v>
      </c>
      <c r="V116" s="638">
        <f>M116*$AP$6*AL$20</f>
        <v>0</v>
      </c>
      <c r="W116" s="669" t="e">
        <f>$AP$6*(1-AM$19)*((1+HLOOKUP($A$106,FC_Premissas!$D$5:$W$16,14,FALSE))^0.0833-1)*M116*12</f>
        <v>#REF!</v>
      </c>
      <c r="X116" s="637">
        <f>N116*$AX$6*AT$20</f>
        <v>0</v>
      </c>
      <c r="Y116" s="640" t="e">
        <f>$AX$6*(1-AU$19)*((1+HLOOKUP($A$106,FC_Premissas!$D$5:$W$16,14,FALSE))^0.0833-1)*N116*12</f>
        <v>#REF!</v>
      </c>
      <c r="Z116" s="638">
        <f t="shared" si="52"/>
        <v>0</v>
      </c>
      <c r="AA116" s="669" t="e">
        <f t="shared" si="52"/>
        <v>#REF!</v>
      </c>
      <c r="AB116" s="641"/>
    </row>
    <row r="117" spans="1:28" x14ac:dyDescent="0.2">
      <c r="A117" s="984"/>
      <c r="B117" s="633">
        <v>9</v>
      </c>
      <c r="C117" s="634">
        <f>IF(A106&lt;=$F$3,L91,0)</f>
        <v>0</v>
      </c>
      <c r="D117" s="598">
        <f>IF(A106&lt;=$F$3,M91,0)</f>
        <v>0</v>
      </c>
      <c r="E117" s="598">
        <f>IF(A106&lt;=$F$3,N91,0)</f>
        <v>4</v>
      </c>
      <c r="F117" s="634"/>
      <c r="G117" s="598"/>
      <c r="H117" s="650"/>
      <c r="I117" s="598"/>
      <c r="J117" s="598"/>
      <c r="K117" s="676"/>
      <c r="L117" s="634">
        <f>IF(A106&lt;=$F$3,C117+F117-I117,0)</f>
        <v>0</v>
      </c>
      <c r="M117" s="598">
        <f>IF(A106&lt;=$F$3,D117+G117-J117,0)</f>
        <v>0</v>
      </c>
      <c r="N117" s="598">
        <f>IF(A106&lt;=$F$3,E117+H117-K117,0)</f>
        <v>4</v>
      </c>
      <c r="O117" s="635">
        <f>IF(A106&lt;=$F$3,F117*Q117+G117*R117+H117*S117,0)</f>
        <v>0</v>
      </c>
      <c r="P117" s="636">
        <f>IF(A106&lt;=$F$3,I117*Q117+J117*R117+K117*S117,0)</f>
        <v>0</v>
      </c>
      <c r="Q117" s="637">
        <f t="shared" si="51"/>
        <v>61149.090909090955</v>
      </c>
      <c r="R117" s="638">
        <f t="shared" si="51"/>
        <v>92343.429818181874</v>
      </c>
      <c r="S117" s="639">
        <f t="shared" si="51"/>
        <v>96928.157090909139</v>
      </c>
      <c r="T117" s="637">
        <f>L117*$AH$6*AD$21</f>
        <v>0</v>
      </c>
      <c r="U117" s="640" t="e">
        <f>$AH$6*(1-AE$20)*((1+HLOOKUP($A$106,FC_Premissas!$D$5:$W$16,14,FALSE)^0.0833-1))*L117*12</f>
        <v>#REF!</v>
      </c>
      <c r="V117" s="638">
        <f>M117*$AP$6*AL$21</f>
        <v>0</v>
      </c>
      <c r="W117" s="669" t="e">
        <f>$AP$6*(1-AM$20)*((1+HLOOKUP($A$106,FC_Premissas!$D$5:$W$16,14,FALSE))^0.0833-1)*M117*12</f>
        <v>#REF!</v>
      </c>
      <c r="X117" s="637">
        <f>N117*$AX$6*AT$21</f>
        <v>47871.988363636367</v>
      </c>
      <c r="Y117" s="640" t="e">
        <f>$AX$6*(1-AU$20)*((1+HLOOKUP($A$106,FC_Premissas!$D$5:$W$16,14,FALSE))^0.0833-1)*N117*12</f>
        <v>#REF!</v>
      </c>
      <c r="Z117" s="638">
        <f t="shared" si="52"/>
        <v>47871.988363636367</v>
      </c>
      <c r="AA117" s="669" t="e">
        <f t="shared" si="52"/>
        <v>#REF!</v>
      </c>
      <c r="AB117" s="641"/>
    </row>
    <row r="118" spans="1:28" x14ac:dyDescent="0.2">
      <c r="A118" s="984"/>
      <c r="B118" s="633">
        <v>10</v>
      </c>
      <c r="C118" s="634">
        <f>IF(A106&lt;=$F$3,L92,0)</f>
        <v>0</v>
      </c>
      <c r="D118" s="598">
        <f>IF(A106&lt;=$F$3,M92,0)</f>
        <v>0</v>
      </c>
      <c r="E118" s="598">
        <f>IF(A106&lt;=$F$3,N92,0)</f>
        <v>0</v>
      </c>
      <c r="F118" s="634"/>
      <c r="G118" s="598"/>
      <c r="H118" s="650"/>
      <c r="I118" s="598"/>
      <c r="J118" s="598"/>
      <c r="K118" s="676"/>
      <c r="L118" s="634">
        <f>IF(A106&lt;=$F$3,C118+F118-I118,0)</f>
        <v>0</v>
      </c>
      <c r="M118" s="598">
        <f>IF(A106&lt;=$F$3,D118+G118-J118,0)</f>
        <v>0</v>
      </c>
      <c r="N118" s="598">
        <f>IF(A106&lt;=$F$3,E118+H118-K118,0)</f>
        <v>0</v>
      </c>
      <c r="O118" s="635">
        <f>IF(A106&lt;=$F$3,F118*Q118+G118*R118+H118*S118,0)</f>
        <v>0</v>
      </c>
      <c r="P118" s="636">
        <f>IF(A106&lt;=$F$3,I118*Q118+J118*R118+K118*S118,0)</f>
        <v>0</v>
      </c>
      <c r="Q118" s="637">
        <f t="shared" si="51"/>
        <v>52550.000000000044</v>
      </c>
      <c r="R118" s="638">
        <f t="shared" si="51"/>
        <v>81020.160000000062</v>
      </c>
      <c r="S118" s="639">
        <f t="shared" si="51"/>
        <v>84960.160000000062</v>
      </c>
      <c r="T118" s="637">
        <f>L118*$AH$6*AD$22</f>
        <v>0</v>
      </c>
      <c r="U118" s="640" t="e">
        <f>$AH$6*(1-AE$21)*((1+HLOOKUP($A$106,FC_Premissas!$D$5:$W$16,14,FALSE)^0.0833-1))*L118*12</f>
        <v>#REF!</v>
      </c>
      <c r="V118" s="638">
        <f>M118*$AP$6*AL$22</f>
        <v>0</v>
      </c>
      <c r="W118" s="669" t="e">
        <f>$AP$6*(1-AM$21)*((1+HLOOKUP($A$106,FC_Premissas!$D$5:$W$16,14,FALSE))^0.0833-1)*M118*12</f>
        <v>#REF!</v>
      </c>
      <c r="X118" s="637">
        <f>N118*$AX$6*AT$22</f>
        <v>0</v>
      </c>
      <c r="Y118" s="640" t="e">
        <f>$AX$6*(1-AU$21)*((1+HLOOKUP($A$106,FC_Premissas!$D$5:$W$16,14,FALSE))^0.0833-1)*N118*12</f>
        <v>#REF!</v>
      </c>
      <c r="Z118" s="638">
        <f t="shared" si="52"/>
        <v>0</v>
      </c>
      <c r="AA118" s="669" t="e">
        <f t="shared" si="52"/>
        <v>#REF!</v>
      </c>
      <c r="AB118" s="641"/>
    </row>
    <row r="119" spans="1:28" x14ac:dyDescent="0.2">
      <c r="A119" s="984"/>
      <c r="B119" s="633">
        <v>11</v>
      </c>
      <c r="C119" s="634">
        <f>IF(A106&lt;=$F$3,L93,0)</f>
        <v>0</v>
      </c>
      <c r="D119" s="598">
        <f>IF(A106&lt;=$F$3,M93,0)</f>
        <v>0</v>
      </c>
      <c r="E119" s="598">
        <f>IF(A106&lt;=$F$3,N93,0)</f>
        <v>3</v>
      </c>
      <c r="F119" s="634"/>
      <c r="G119" s="598"/>
      <c r="H119" s="650"/>
      <c r="I119" s="598"/>
      <c r="J119" s="598"/>
      <c r="K119" s="676">
        <v>2</v>
      </c>
      <c r="L119" s="634">
        <f>IF(A106&lt;=$F$3,C119+F119-I119,0)</f>
        <v>0</v>
      </c>
      <c r="M119" s="598">
        <f>IF(A106&lt;=$F$3,D119+G119-J119,0)</f>
        <v>0</v>
      </c>
      <c r="N119" s="598">
        <f>IF(A106&lt;=$F$3,E119+H119-K119,0)</f>
        <v>1</v>
      </c>
      <c r="O119" s="635">
        <f>IF(A106&lt;=$F$3,F119*Q119+G119*R119+H119*S119,0)</f>
        <v>0</v>
      </c>
      <c r="P119" s="636">
        <f>IF(A106&lt;=$F$3,I119*Q119+J119*R119+K119*S119,0)</f>
        <v>169920.32000000012</v>
      </c>
      <c r="Q119" s="637">
        <f t="shared" si="51"/>
        <v>52550.000000000044</v>
      </c>
      <c r="R119" s="638">
        <f t="shared" si="51"/>
        <v>81020.160000000062</v>
      </c>
      <c r="S119" s="639">
        <f t="shared" si="51"/>
        <v>84960.160000000062</v>
      </c>
      <c r="T119" s="637">
        <f>L119*$AH$6*AD$23</f>
        <v>0</v>
      </c>
      <c r="U119" s="640" t="e">
        <f>$AH$6*(1-AE$22)*((1+HLOOKUP($A$106,FC_Premissas!$D$5:$W$16,14,FALSE)^0.0833-1))*L119*12</f>
        <v>#REF!</v>
      </c>
      <c r="V119" s="638">
        <f>M119*$AP$6*AL$23</f>
        <v>0</v>
      </c>
      <c r="W119" s="669" t="e">
        <f>$AP$6*(1-AM$22)*((1+HLOOKUP($A$106,FC_Premissas!$D$5:$W$16,14,FALSE))^0.0833-1)*M119*12</f>
        <v>#REF!</v>
      </c>
      <c r="X119" s="637">
        <f>N119*$AX$6*AT$23</f>
        <v>0</v>
      </c>
      <c r="Y119" s="640" t="e">
        <f>$AX$6*(1-AU$22)*((1+HLOOKUP($A$106,FC_Premissas!$D$5:$W$16,14,FALSE))^0.0833-1)*N119*12</f>
        <v>#REF!</v>
      </c>
      <c r="Z119" s="638">
        <f t="shared" si="52"/>
        <v>0</v>
      </c>
      <c r="AA119" s="669" t="e">
        <f t="shared" si="52"/>
        <v>#REF!</v>
      </c>
      <c r="AB119" s="641"/>
    </row>
    <row r="120" spans="1:28" x14ac:dyDescent="0.2">
      <c r="A120" s="984"/>
      <c r="B120" s="633">
        <v>12</v>
      </c>
      <c r="C120" s="634">
        <f>IF(A106&lt;=$F$3,L94,0)</f>
        <v>0</v>
      </c>
      <c r="D120" s="598">
        <f>IF(A106&lt;=$F$3,M94,0)</f>
        <v>0</v>
      </c>
      <c r="E120" s="598">
        <f>IF(A106&lt;=$F$3,N94,0)</f>
        <v>0</v>
      </c>
      <c r="F120" s="634"/>
      <c r="G120" s="598"/>
      <c r="H120" s="650"/>
      <c r="I120" s="598"/>
      <c r="J120" s="598"/>
      <c r="K120" s="676"/>
      <c r="L120" s="634">
        <f>IF(A106&lt;=$F$3,C120+F120-I120,0)</f>
        <v>0</v>
      </c>
      <c r="M120" s="598">
        <f>IF(A106&lt;=$F$3,D120+G120-J120,0)</f>
        <v>0</v>
      </c>
      <c r="N120" s="598">
        <f>IF(A106&lt;=$F$3,E120+H120-K120,0)</f>
        <v>0</v>
      </c>
      <c r="O120" s="635">
        <f>IF(A106&lt;=$F$3,F120*Q120+G120*R120+H120*S120,0)</f>
        <v>0</v>
      </c>
      <c r="P120" s="636">
        <f>IF(A106&lt;=$F$3,I120*Q120+J120*R120+K120*S120,0)</f>
        <v>0</v>
      </c>
      <c r="Q120" s="637">
        <f t="shared" si="51"/>
        <v>52550.000000000044</v>
      </c>
      <c r="R120" s="638">
        <f t="shared" si="51"/>
        <v>81020.160000000062</v>
      </c>
      <c r="S120" s="639">
        <f t="shared" si="51"/>
        <v>84960.160000000062</v>
      </c>
      <c r="T120" s="637">
        <f>L120*$AH$6*AD$24</f>
        <v>0</v>
      </c>
      <c r="U120" s="640" t="e">
        <f>$AH$6*(1-AE$23)*((1+HLOOKUP($A$106,FC_Premissas!$D$5:$W$16,14,FALSE)^0.0833-1))*L120*12</f>
        <v>#REF!</v>
      </c>
      <c r="V120" s="638">
        <f>M120*$AP$6*AL$24</f>
        <v>0</v>
      </c>
      <c r="W120" s="669" t="e">
        <f>$AP$6*(1-AM$23)*((1+HLOOKUP($A$106,FC_Premissas!$D$5:$W$16,14,FALSE))^0.0833-1)*M120*12</f>
        <v>#REF!</v>
      </c>
      <c r="X120" s="637">
        <f>N120*$AX$6*AT$24</f>
        <v>0</v>
      </c>
      <c r="Y120" s="640" t="e">
        <f>$AX$6*(1-AU$23)*((1+HLOOKUP($A$106,FC_Premissas!$D$5:$W$16,14,FALSE))^0.0833-1)*N120*12</f>
        <v>#REF!</v>
      </c>
      <c r="Z120" s="638">
        <f t="shared" si="52"/>
        <v>0</v>
      </c>
      <c r="AA120" s="669" t="e">
        <f t="shared" si="52"/>
        <v>#REF!</v>
      </c>
      <c r="AB120" s="641"/>
    </row>
    <row r="121" spans="1:28" x14ac:dyDescent="0.2">
      <c r="A121" s="984"/>
      <c r="B121" s="633">
        <v>13</v>
      </c>
      <c r="C121" s="634">
        <f>IF(A106&lt;=$F$3,L95,0)</f>
        <v>0</v>
      </c>
      <c r="D121" s="598">
        <f>IF(A106&lt;=$F$3,M95,0)</f>
        <v>0</v>
      </c>
      <c r="E121" s="650">
        <f>IF(A106&lt;=$F$3,N95,0)</f>
        <v>1</v>
      </c>
      <c r="F121" s="634"/>
      <c r="G121" s="598"/>
      <c r="H121" s="598"/>
      <c r="I121" s="634"/>
      <c r="J121" s="598"/>
      <c r="K121" s="676">
        <v>1</v>
      </c>
      <c r="L121" s="634">
        <f>IF(A106&lt;=$F$3,C121+F121-I121,0)</f>
        <v>0</v>
      </c>
      <c r="M121" s="598">
        <f>IF(A106&lt;=$F$3,D121+G121-J121,0)</f>
        <v>0</v>
      </c>
      <c r="N121" s="598">
        <f>IF(A106&lt;=$F$3,E121+H121-K121,0)</f>
        <v>0</v>
      </c>
      <c r="O121" s="635">
        <f>IF(A106&lt;=$F$3,F121*Q121+G121*R121+H121*S121,0)</f>
        <v>0</v>
      </c>
      <c r="P121" s="636">
        <f>IF(A106&lt;=$F$3,I121*Q121+J121*R121+K121*S121,0)</f>
        <v>84960.160000000062</v>
      </c>
      <c r="Q121" s="637">
        <f t="shared" si="51"/>
        <v>52550.000000000044</v>
      </c>
      <c r="R121" s="638">
        <f t="shared" si="51"/>
        <v>81020.160000000062</v>
      </c>
      <c r="S121" s="639">
        <f t="shared" si="51"/>
        <v>84960.160000000062</v>
      </c>
      <c r="T121" s="637">
        <f>L121*$AH$6*AD$25</f>
        <v>0</v>
      </c>
      <c r="U121" s="640" t="e">
        <f>$AH$6*(1-AE$24)*((1+HLOOKUP($A$106,FC_Premissas!$D$5:$W$16,14,FALSE)^0.0833-1))*L121*12</f>
        <v>#REF!</v>
      </c>
      <c r="V121" s="638">
        <f>M121*$AP$6*AL$25</f>
        <v>0</v>
      </c>
      <c r="W121" s="669" t="e">
        <f>$AP$6*(1-AM$24)*((1+HLOOKUP($A$106,FC_Premissas!$D$5:$W$16,14,FALSE))^0.0833-1)*M121*12</f>
        <v>#REF!</v>
      </c>
      <c r="X121" s="637">
        <f>N121*$AX$6*AT$25</f>
        <v>0</v>
      </c>
      <c r="Y121" s="640" t="e">
        <f>$AX$6*(1-AU$24)*((1+HLOOKUP($A$106,FC_Premissas!$D$5:$W$16,14,FALSE))^0.0833-1)*N121*12</f>
        <v>#REF!</v>
      </c>
      <c r="Z121" s="638">
        <f t="shared" si="52"/>
        <v>0</v>
      </c>
      <c r="AA121" s="669" t="e">
        <f t="shared" si="52"/>
        <v>#REF!</v>
      </c>
      <c r="AB121" s="641"/>
    </row>
    <row r="122" spans="1:28" x14ac:dyDescent="0.2">
      <c r="A122" s="984"/>
      <c r="B122" s="633">
        <v>14</v>
      </c>
      <c r="C122" s="634">
        <f>IF(A106&lt;=$F$3,L96,0)</f>
        <v>0</v>
      </c>
      <c r="D122" s="598">
        <f>IF(A106&lt;=$F$3,M96,0)</f>
        <v>0</v>
      </c>
      <c r="E122" s="650">
        <f>IF(A106&lt;=$F$3,N96,0)</f>
        <v>0</v>
      </c>
      <c r="F122" s="634"/>
      <c r="G122" s="598"/>
      <c r="H122" s="598"/>
      <c r="I122" s="634"/>
      <c r="J122" s="598"/>
      <c r="K122" s="598"/>
      <c r="L122" s="634">
        <f>IF(A106&lt;=$F$3,C122+F122-I122,0)</f>
        <v>0</v>
      </c>
      <c r="M122" s="598">
        <f>IF(A106&lt;=$F$3,D122+G122-J122,0)</f>
        <v>0</v>
      </c>
      <c r="N122" s="598">
        <f>IF(A106&lt;=$F$3,E122+H122-K122,0)</f>
        <v>0</v>
      </c>
      <c r="O122" s="635">
        <f>IF(A106&lt;=$F$3,F122*Q122+G122*R122+H122*S122,0)</f>
        <v>0</v>
      </c>
      <c r="P122" s="636">
        <f>IF(A106&lt;=$F$3,I122*Q122+J122*R122+K122*S122,0)</f>
        <v>0</v>
      </c>
      <c r="Q122" s="637">
        <f t="shared" si="51"/>
        <v>52550.000000000044</v>
      </c>
      <c r="R122" s="638">
        <f t="shared" si="51"/>
        <v>81020.160000000062</v>
      </c>
      <c r="S122" s="639">
        <f t="shared" si="51"/>
        <v>84960.160000000062</v>
      </c>
      <c r="T122" s="637">
        <f>L122*$AH$6*AD$26</f>
        <v>0</v>
      </c>
      <c r="U122" s="640" t="e">
        <f>$AH$6*(1-AE$25)*((1+HLOOKUP($A$106,FC_Premissas!$D$5:$W$16,14,FALSE)^0.0833-1))*L122*12</f>
        <v>#REF!</v>
      </c>
      <c r="V122" s="638">
        <f>M122*$AP$6*AL$26</f>
        <v>0</v>
      </c>
      <c r="W122" s="669" t="e">
        <f>$AP$6*(1-AM$25)*((1+HLOOKUP($A$106,FC_Premissas!$D$5:$W$16,14,FALSE))^0.0833-1)*M122*12</f>
        <v>#REF!</v>
      </c>
      <c r="X122" s="637">
        <f>N122*$AX$6*AT$26</f>
        <v>0</v>
      </c>
      <c r="Y122" s="640" t="e">
        <f>$AX$6*(1-AU$25)*((1+HLOOKUP($A$106,FC_Premissas!$D$5:$W$16,14,FALSE))^0.0833-1)*N122*12</f>
        <v>#REF!</v>
      </c>
      <c r="Z122" s="638">
        <f t="shared" si="52"/>
        <v>0</v>
      </c>
      <c r="AA122" s="669" t="e">
        <f t="shared" si="52"/>
        <v>#REF!</v>
      </c>
      <c r="AB122" s="641"/>
    </row>
    <row r="123" spans="1:28" x14ac:dyDescent="0.2">
      <c r="A123" s="984"/>
      <c r="B123" s="633">
        <v>15</v>
      </c>
      <c r="C123" s="634">
        <f>IF(A106&lt;=$F$3,L97,0)</f>
        <v>0</v>
      </c>
      <c r="D123" s="598">
        <f>IF(A106&lt;=$F$3,M97,0)</f>
        <v>0</v>
      </c>
      <c r="E123" s="650">
        <f>IF(A106&lt;=$F$3,N97,0)</f>
        <v>0</v>
      </c>
      <c r="F123" s="634"/>
      <c r="G123" s="598"/>
      <c r="H123" s="598"/>
      <c r="I123" s="634"/>
      <c r="J123" s="598"/>
      <c r="K123" s="598"/>
      <c r="L123" s="634">
        <f>IF(A106&lt;=$F$3,C123+F123-I123,0)</f>
        <v>0</v>
      </c>
      <c r="M123" s="598">
        <f>IF(A106&lt;=$F$3,D123+G123-J123,0)</f>
        <v>0</v>
      </c>
      <c r="N123" s="598">
        <f>IF(A106&lt;=$F$3,E123+H123-K123,0)</f>
        <v>0</v>
      </c>
      <c r="O123" s="635">
        <f>IF(A106&lt;=$F$3,F123*Q123+G123*R123+H123*S123,0)</f>
        <v>0</v>
      </c>
      <c r="P123" s="636">
        <f>IF(A106&lt;=$F$3,I123*Q123+J123*R123+K123*S123,0)</f>
        <v>0</v>
      </c>
      <c r="Q123" s="637">
        <f t="shared" si="51"/>
        <v>52550.000000000044</v>
      </c>
      <c r="R123" s="638">
        <f t="shared" si="51"/>
        <v>81020.160000000062</v>
      </c>
      <c r="S123" s="639">
        <f t="shared" si="51"/>
        <v>84960.160000000062</v>
      </c>
      <c r="T123" s="637">
        <f t="shared" ref="T123:T128" si="53">L123*$AH$6*AD$27</f>
        <v>0</v>
      </c>
      <c r="U123" s="640" t="e">
        <f>$AH$6*(1-AE$26)*((1+HLOOKUP($A$106,FC_Premissas!$D$5:$W$16,14,FALSE)^0.0833-1))*L123*12</f>
        <v>#REF!</v>
      </c>
      <c r="V123" s="638">
        <f t="shared" ref="V123:V128" si="54">M123*$AP$6*AL$27</f>
        <v>0</v>
      </c>
      <c r="W123" s="669" t="e">
        <f>$AP$6*(1-AM$26)*((1+HLOOKUP($A$106,FC_Premissas!$D$5:$W$16,14,FALSE))^0.0833-1)*M123*12</f>
        <v>#REF!</v>
      </c>
      <c r="X123" s="637">
        <f t="shared" ref="X123:X128" si="55">N123*$AX$6*AT$27</f>
        <v>0</v>
      </c>
      <c r="Y123" s="640" t="e">
        <f>$AX$6*(1-AU$26)*((1+HLOOKUP($A$106,FC_Premissas!$D$5:$W$16,14,FALSE))^0.0833-1)*N123*12</f>
        <v>#REF!</v>
      </c>
      <c r="Z123" s="638">
        <f t="shared" si="52"/>
        <v>0</v>
      </c>
      <c r="AA123" s="640" t="e">
        <f t="shared" si="52"/>
        <v>#REF!</v>
      </c>
      <c r="AB123" s="641"/>
    </row>
    <row r="124" spans="1:28" x14ac:dyDescent="0.2">
      <c r="A124" s="984"/>
      <c r="B124" s="633">
        <v>16</v>
      </c>
      <c r="C124" s="634">
        <f>IF(A106&lt;=$F$3,L98,0)</f>
        <v>0</v>
      </c>
      <c r="D124" s="598">
        <f>IF(A106&lt;=$F$3,M98,0)</f>
        <v>0</v>
      </c>
      <c r="E124" s="650">
        <f>IF(A106&lt;=$F$3,N98,0)</f>
        <v>0</v>
      </c>
      <c r="F124" s="634"/>
      <c r="G124" s="598"/>
      <c r="H124" s="598"/>
      <c r="I124" s="634"/>
      <c r="J124" s="598"/>
      <c r="K124" s="598"/>
      <c r="L124" s="634">
        <f>IF(A106&lt;=$F$3,C124+F124-I124,0)</f>
        <v>0</v>
      </c>
      <c r="M124" s="598">
        <f>IF(A106&lt;=$F$3,D124+G124-J124,0)</f>
        <v>0</v>
      </c>
      <c r="N124" s="598">
        <f>IF(A106&lt;=$F$3,E124+H124-K124,0)</f>
        <v>0</v>
      </c>
      <c r="O124" s="635">
        <f>IF(A106&lt;=$F$3,F124*Q124+G124*R124+H124*S124,0)</f>
        <v>0</v>
      </c>
      <c r="P124" s="636">
        <f>IF(A106&lt;=$F$3,I124*Q124+J124*R124+K124*S124,0)</f>
        <v>0</v>
      </c>
      <c r="Q124" s="637">
        <f t="shared" ref="Q124:S128" si="56">Q99</f>
        <v>52550.000000000044</v>
      </c>
      <c r="R124" s="638">
        <f t="shared" si="56"/>
        <v>81020.160000000062</v>
      </c>
      <c r="S124" s="639">
        <f t="shared" si="56"/>
        <v>84960.160000000062</v>
      </c>
      <c r="T124" s="637">
        <f t="shared" si="53"/>
        <v>0</v>
      </c>
      <c r="U124" s="640" t="e">
        <f>$AH$6*(1-AE$27)*((1+HLOOKUP($A$106,FC_Premissas!$D$5:$W$16,14,FALSE)^0.0833-1))*L124*12</f>
        <v>#REF!</v>
      </c>
      <c r="V124" s="638">
        <f t="shared" si="54"/>
        <v>0</v>
      </c>
      <c r="W124" s="669" t="e">
        <f>$AP$6*(1-AM$27)*((1+HLOOKUP($A$106,FC_Premissas!$D$5:$W$16,14,FALSE))^0.0833-1)*M124*12</f>
        <v>#REF!</v>
      </c>
      <c r="X124" s="637">
        <f t="shared" si="55"/>
        <v>0</v>
      </c>
      <c r="Y124" s="640" t="e">
        <f>$AX$6*(1-AU$27)*((1+HLOOKUP($A$106,FC_Premissas!$D$5:$W$16,14,FALSE))^0.0833-1)*N124*12</f>
        <v>#REF!</v>
      </c>
      <c r="Z124" s="638">
        <f t="shared" si="52"/>
        <v>0</v>
      </c>
      <c r="AA124" s="640" t="e">
        <f t="shared" si="52"/>
        <v>#REF!</v>
      </c>
      <c r="AB124" s="641"/>
    </row>
    <row r="125" spans="1:28" x14ac:dyDescent="0.2">
      <c r="A125" s="984"/>
      <c r="B125" s="633">
        <v>17</v>
      </c>
      <c r="C125" s="634">
        <f>IF(A106&lt;=$F$3,L99,0)</f>
        <v>0</v>
      </c>
      <c r="D125" s="598">
        <f>IF(A106&lt;=$F$3,M99,0)</f>
        <v>0</v>
      </c>
      <c r="E125" s="650">
        <f>IF(A106&lt;=$F$3,N99,0)</f>
        <v>0</v>
      </c>
      <c r="F125" s="634"/>
      <c r="G125" s="598"/>
      <c r="H125" s="598"/>
      <c r="I125" s="634"/>
      <c r="J125" s="598"/>
      <c r="K125" s="598"/>
      <c r="L125" s="634">
        <f>IF(A106&lt;=$F$3,C125+F125-I125,0)</f>
        <v>0</v>
      </c>
      <c r="M125" s="598">
        <f>IF(A106&lt;=$F$3,D125+G125-J125,0)</f>
        <v>0</v>
      </c>
      <c r="N125" s="598">
        <f>IF(A106&lt;=$F$3,E125+H125-K125,0)</f>
        <v>0</v>
      </c>
      <c r="O125" s="635">
        <f>IF(A106&lt;=$F$3,F125*Q125+G125*R125+H125*S125,0)</f>
        <v>0</v>
      </c>
      <c r="P125" s="636">
        <f>IF(A106&lt;=$F$3,I125*Q125+J125*R125+K125*S125,0)</f>
        <v>0</v>
      </c>
      <c r="Q125" s="637">
        <f t="shared" si="56"/>
        <v>52550.000000000044</v>
      </c>
      <c r="R125" s="638">
        <f t="shared" si="56"/>
        <v>81020.160000000062</v>
      </c>
      <c r="S125" s="639">
        <f t="shared" si="56"/>
        <v>84960.160000000062</v>
      </c>
      <c r="T125" s="637">
        <f t="shared" si="53"/>
        <v>0</v>
      </c>
      <c r="U125" s="640" t="e">
        <f>$AH$6*(1-AE$28)*((1+HLOOKUP($A$106,FC_Premissas!$D$5:$W$16,14,FALSE)^0.0833-1))*L125*12</f>
        <v>#REF!</v>
      </c>
      <c r="V125" s="638">
        <f t="shared" si="54"/>
        <v>0</v>
      </c>
      <c r="W125" s="669" t="e">
        <f>$AP$6*(1-AM$28)*((1+HLOOKUP($A$106,FC_Premissas!$D$5:$W$16,14,FALSE))^0.0833-1)*M125*12</f>
        <v>#REF!</v>
      </c>
      <c r="X125" s="637">
        <f t="shared" si="55"/>
        <v>0</v>
      </c>
      <c r="Y125" s="640" t="e">
        <f>$AX$6*(1-AU$28)*((1+HLOOKUP($A$106,FC_Premissas!$D$5:$W$16,14,FALSE))^0.0833-1)*N125*12</f>
        <v>#REF!</v>
      </c>
      <c r="Z125" s="638">
        <f t="shared" si="52"/>
        <v>0</v>
      </c>
      <c r="AA125" s="640" t="e">
        <f t="shared" si="52"/>
        <v>#REF!</v>
      </c>
      <c r="AB125" s="641"/>
    </row>
    <row r="126" spans="1:28" x14ac:dyDescent="0.2">
      <c r="A126" s="984"/>
      <c r="B126" s="633">
        <v>18</v>
      </c>
      <c r="C126" s="634">
        <f>IF(A106&lt;=$F$3,L100,0)</f>
        <v>0</v>
      </c>
      <c r="D126" s="598">
        <f>IF(A106&lt;=$F$3,M100,0)</f>
        <v>0</v>
      </c>
      <c r="E126" s="650">
        <f>IF(A106&lt;=$F$3,N100,0)</f>
        <v>0</v>
      </c>
      <c r="F126" s="634"/>
      <c r="G126" s="598"/>
      <c r="H126" s="598"/>
      <c r="I126" s="634"/>
      <c r="J126" s="598"/>
      <c r="K126" s="598"/>
      <c r="L126" s="634">
        <f>IF(A106&lt;=$F$3,C126+F126-I126,0)</f>
        <v>0</v>
      </c>
      <c r="M126" s="598">
        <f>IF(A106&lt;=$F$3,D126+G126-J126,0)</f>
        <v>0</v>
      </c>
      <c r="N126" s="598">
        <f>IF(A106&lt;=$F$3,E126+H126-K126,0)</f>
        <v>0</v>
      </c>
      <c r="O126" s="635">
        <f>IF(A106&lt;=$F$3,F126*Q126+G126*R126+H126*S126,0)</f>
        <v>0</v>
      </c>
      <c r="P126" s="636">
        <f>IF(A106&lt;=$F$3,I126*Q126+J126*R126+K126*S126,0)</f>
        <v>0</v>
      </c>
      <c r="Q126" s="637">
        <f t="shared" si="56"/>
        <v>52550.000000000044</v>
      </c>
      <c r="R126" s="638">
        <f t="shared" si="56"/>
        <v>81020.160000000062</v>
      </c>
      <c r="S126" s="639">
        <f t="shared" si="56"/>
        <v>84960.160000000062</v>
      </c>
      <c r="T126" s="637">
        <f t="shared" si="53"/>
        <v>0</v>
      </c>
      <c r="U126" s="640" t="e">
        <f>$AH$6*(1-AE$29)*((1+HLOOKUP($A$106,FC_Premissas!$D$5:$W$16,14,FALSE)^0.0833-1))*L126*12</f>
        <v>#REF!</v>
      </c>
      <c r="V126" s="638">
        <f t="shared" si="54"/>
        <v>0</v>
      </c>
      <c r="W126" s="669" t="e">
        <f>$AP$6*(1-AM$29)*((1+HLOOKUP($A$106,FC_Premissas!$D$5:$W$16,14,FALSE))^0.0833-1)*M126*12</f>
        <v>#REF!</v>
      </c>
      <c r="X126" s="637">
        <f t="shared" si="55"/>
        <v>0</v>
      </c>
      <c r="Y126" s="640" t="e">
        <f>$AX$6*(1-AU$29)*((1+HLOOKUP($A$106,FC_Premissas!$D$5:$W$16,14,FALSE))^0.0833-1)*N126*12</f>
        <v>#REF!</v>
      </c>
      <c r="Z126" s="638">
        <f t="shared" si="52"/>
        <v>0</v>
      </c>
      <c r="AA126" s="640" t="e">
        <f t="shared" si="52"/>
        <v>#REF!</v>
      </c>
      <c r="AB126" s="641"/>
    </row>
    <row r="127" spans="1:28" x14ac:dyDescent="0.2">
      <c r="A127" s="984"/>
      <c r="B127" s="633">
        <v>19</v>
      </c>
      <c r="C127" s="634">
        <f>IF(A106&lt;=$F$3,L101,0)</f>
        <v>0</v>
      </c>
      <c r="D127" s="598">
        <f>IF(A106&lt;=$F$3,M101,0)</f>
        <v>0</v>
      </c>
      <c r="E127" s="650">
        <f>IF(A106&lt;=$F$3,N101,0)</f>
        <v>0</v>
      </c>
      <c r="F127" s="634"/>
      <c r="G127" s="598"/>
      <c r="H127" s="598"/>
      <c r="I127" s="634"/>
      <c r="J127" s="598"/>
      <c r="K127" s="598"/>
      <c r="L127" s="634">
        <f>IF(A106&lt;=$F$3,C127+F127-I127,0)</f>
        <v>0</v>
      </c>
      <c r="M127" s="598">
        <f>IF(A106&lt;=$F$3,D127+G127-J127,0)</f>
        <v>0</v>
      </c>
      <c r="N127" s="598">
        <f>IF(A106&lt;=$F$3,E127+H127-K127,0)</f>
        <v>0</v>
      </c>
      <c r="O127" s="635">
        <f>IF(A106&lt;=$F$3,F127*Q127+G127*R127+H127*S127,0)</f>
        <v>0</v>
      </c>
      <c r="P127" s="636">
        <f>IF(A106&lt;=$F$3,I127*Q127+J127*R127+K127*S127,0)</f>
        <v>0</v>
      </c>
      <c r="Q127" s="637">
        <f t="shared" si="56"/>
        <v>52550.000000000044</v>
      </c>
      <c r="R127" s="638">
        <f t="shared" si="56"/>
        <v>81020.160000000062</v>
      </c>
      <c r="S127" s="639">
        <f t="shared" si="56"/>
        <v>84960.160000000062</v>
      </c>
      <c r="T127" s="637">
        <f t="shared" si="53"/>
        <v>0</v>
      </c>
      <c r="U127" s="640" t="e">
        <f>$AH$6*(1-AE$30)*((1+HLOOKUP($A$106,FC_Premissas!$D$5:$W$16,14,FALSE)^0.0833-1))*L127*12</f>
        <v>#REF!</v>
      </c>
      <c r="V127" s="638">
        <f t="shared" si="54"/>
        <v>0</v>
      </c>
      <c r="W127" s="669" t="e">
        <f>$AP$6*(1-AM$30)*((1+HLOOKUP($A$106,FC_Premissas!$D$5:$W$16,14,FALSE))^0.0833-1)*M127*12</f>
        <v>#REF!</v>
      </c>
      <c r="X127" s="637">
        <f t="shared" si="55"/>
        <v>0</v>
      </c>
      <c r="Y127" s="640" t="e">
        <f>$AX$6*(1-AU$30)*((1+HLOOKUP($A$106,FC_Premissas!$D$5:$W$16,14,FALSE))^0.0833-1)*N127*12</f>
        <v>#REF!</v>
      </c>
      <c r="Z127" s="638">
        <f t="shared" si="52"/>
        <v>0</v>
      </c>
      <c r="AA127" s="640" t="e">
        <f t="shared" si="52"/>
        <v>#REF!</v>
      </c>
      <c r="AB127" s="641"/>
    </row>
    <row r="128" spans="1:28" x14ac:dyDescent="0.2">
      <c r="A128" s="984"/>
      <c r="B128" s="633">
        <v>20</v>
      </c>
      <c r="C128" s="616">
        <f>IF(A106&lt;=$F$3,L102,0)</f>
        <v>0</v>
      </c>
      <c r="D128" s="617">
        <f>IF(A106&lt;=$F$3,M102,0)</f>
        <v>0</v>
      </c>
      <c r="E128" s="650">
        <f>IF(A106&lt;=$F$3,N102,0)</f>
        <v>0</v>
      </c>
      <c r="F128" s="616"/>
      <c r="G128" s="617"/>
      <c r="H128" s="598"/>
      <c r="I128" s="616"/>
      <c r="J128" s="617"/>
      <c r="K128" s="598"/>
      <c r="L128" s="616">
        <f>IF(A106&lt;=$F$3,C128+F128-I128,0)</f>
        <v>0</v>
      </c>
      <c r="M128" s="617">
        <f>IF(A106&lt;=$F$3,D128+G128-J128,0)</f>
        <v>0</v>
      </c>
      <c r="N128" s="598">
        <f>IF(A106&lt;=$F$3,E128+H128-K128,0)</f>
        <v>0</v>
      </c>
      <c r="O128" s="635">
        <f>IF(A106&lt;=$F$3,F128*Q128+G128*R128+H128*S128,0)</f>
        <v>0</v>
      </c>
      <c r="P128" s="636">
        <f>IF(A106&lt;=$F$3,I128*Q128+J128*R128+K128*S128,0)</f>
        <v>0</v>
      </c>
      <c r="Q128" s="651">
        <f t="shared" si="56"/>
        <v>52550.000000000044</v>
      </c>
      <c r="R128" s="652">
        <f t="shared" si="56"/>
        <v>81020.160000000062</v>
      </c>
      <c r="S128" s="653">
        <f t="shared" si="56"/>
        <v>84960.160000000062</v>
      </c>
      <c r="T128" s="651">
        <f t="shared" si="53"/>
        <v>0</v>
      </c>
      <c r="U128" s="654" t="e">
        <f>$AH$6*(1-AE$31)*((1+HLOOKUP($A$106,FC_Premissas!$D$5:$W$16,14,FALSE)^0.0833-1))*L128*12</f>
        <v>#REF!</v>
      </c>
      <c r="V128" s="652">
        <f t="shared" si="54"/>
        <v>0</v>
      </c>
      <c r="W128" s="678" t="e">
        <f>$AP$6*(1-AM$31)*((1+HLOOKUP($A$106,FC_Premissas!$D$5:$W$16,14,FALSE))^0.0833-1)*M128*12</f>
        <v>#REF!</v>
      </c>
      <c r="X128" s="651">
        <f t="shared" si="55"/>
        <v>0</v>
      </c>
      <c r="Y128" s="654" t="e">
        <f>$AX$6*(1-AU$31)*((1+HLOOKUP($A$106,FC_Premissas!$D$5:$W$16,14,FALSE))^0.0833-1)*N128*12</f>
        <v>#REF!</v>
      </c>
      <c r="Z128" s="652">
        <f t="shared" si="52"/>
        <v>0</v>
      </c>
      <c r="AA128" s="654" t="e">
        <f t="shared" si="52"/>
        <v>#REF!</v>
      </c>
      <c r="AB128" s="641"/>
    </row>
    <row r="129" spans="1:28" x14ac:dyDescent="0.2">
      <c r="A129" s="984"/>
      <c r="B129" s="655" t="s">
        <v>1228</v>
      </c>
      <c r="C129" s="656">
        <f t="shared" ref="C129:P129" si="57">SUM(C108:C128)</f>
        <v>0</v>
      </c>
      <c r="D129" s="657">
        <f t="shared" si="57"/>
        <v>0</v>
      </c>
      <c r="E129" s="658">
        <f t="shared" si="57"/>
        <v>11</v>
      </c>
      <c r="F129" s="656">
        <f t="shared" si="57"/>
        <v>0</v>
      </c>
      <c r="G129" s="657">
        <f t="shared" si="57"/>
        <v>0</v>
      </c>
      <c r="H129" s="658">
        <f t="shared" si="57"/>
        <v>3</v>
      </c>
      <c r="I129" s="656">
        <f t="shared" si="57"/>
        <v>0</v>
      </c>
      <c r="J129" s="657">
        <f t="shared" si="57"/>
        <v>0</v>
      </c>
      <c r="K129" s="658">
        <f t="shared" si="57"/>
        <v>3</v>
      </c>
      <c r="L129" s="656">
        <f t="shared" si="57"/>
        <v>0</v>
      </c>
      <c r="M129" s="657">
        <f t="shared" si="57"/>
        <v>0</v>
      </c>
      <c r="N129" s="657">
        <f t="shared" si="57"/>
        <v>11</v>
      </c>
      <c r="O129" s="659">
        <f t="shared" si="57"/>
        <v>793440.34909090912</v>
      </c>
      <c r="P129" s="660">
        <f t="shared" si="57"/>
        <v>254880.48000000019</v>
      </c>
      <c r="Q129" s="638"/>
      <c r="R129" s="638"/>
      <c r="S129" s="638"/>
      <c r="T129" s="661">
        <f t="shared" ref="T129:AA129" si="58">SUM(T108:T128)</f>
        <v>0</v>
      </c>
      <c r="U129" s="662" t="e">
        <f t="shared" si="58"/>
        <v>#REF!</v>
      </c>
      <c r="V129" s="663">
        <f t="shared" si="58"/>
        <v>0</v>
      </c>
      <c r="W129" s="662" t="e">
        <f t="shared" si="58"/>
        <v>#REF!</v>
      </c>
      <c r="X129" s="663">
        <f t="shared" si="58"/>
        <v>335103.91854545457</v>
      </c>
      <c r="Y129" s="662" t="e">
        <f t="shared" si="58"/>
        <v>#REF!</v>
      </c>
      <c r="Z129" s="663">
        <f t="shared" si="58"/>
        <v>335103.91854545457</v>
      </c>
      <c r="AA129" s="664" t="e">
        <f t="shared" si="58"/>
        <v>#REF!</v>
      </c>
      <c r="AB129" s="641"/>
    </row>
    <row r="130" spans="1:28" x14ac:dyDescent="0.2">
      <c r="A130" s="985"/>
      <c r="B130" s="977" t="s">
        <v>1229</v>
      </c>
      <c r="C130" s="977"/>
      <c r="D130" s="977"/>
      <c r="E130" s="666">
        <f>(L130*L129+M130*M129+N130*N129)/(L129+M129+N129)</f>
        <v>8</v>
      </c>
      <c r="F130" s="665" t="s">
        <v>140</v>
      </c>
      <c r="G130" s="665"/>
      <c r="H130" s="665"/>
      <c r="I130" s="665"/>
      <c r="J130" s="665"/>
      <c r="K130" s="665"/>
      <c r="L130" s="887">
        <f>IF(L129=0,0,(SUMPRODUCT(L108:L128,$B108:$B128)/L129))</f>
        <v>0</v>
      </c>
      <c r="M130" s="887">
        <f>IF(M129=0,0,(SUMPRODUCT(M108:M128,$B108:$B128)/M129))</f>
        <v>0</v>
      </c>
      <c r="N130" s="887">
        <f>IF(N129=0,0,ROUND(SUMPRODUCT(N108:N128,$B108:$B128)/N129,0))</f>
        <v>8</v>
      </c>
      <c r="O130" s="667"/>
      <c r="P130" s="668"/>
      <c r="Q130" s="638"/>
      <c r="R130" s="638"/>
      <c r="S130" s="638"/>
      <c r="T130" s="638"/>
      <c r="U130" s="669"/>
      <c r="V130" s="638"/>
      <c r="W130" s="669"/>
      <c r="X130" s="638"/>
      <c r="Y130" s="669"/>
      <c r="Z130" s="638"/>
      <c r="AA130" s="669"/>
    </row>
    <row r="131" spans="1:28" ht="12.75" customHeight="1" x14ac:dyDescent="0.2">
      <c r="A131" s="983">
        <f>A106+1</f>
        <v>6</v>
      </c>
      <c r="B131" s="986" t="s">
        <v>1077</v>
      </c>
      <c r="C131" s="988" t="s">
        <v>1202</v>
      </c>
      <c r="D131" s="989"/>
      <c r="E131" s="990"/>
      <c r="F131" s="991" t="s">
        <v>1203</v>
      </c>
      <c r="G131" s="992"/>
      <c r="H131" s="993"/>
      <c r="I131" s="991" t="s">
        <v>1204</v>
      </c>
      <c r="J131" s="992"/>
      <c r="K131" s="993"/>
      <c r="L131" s="991" t="s">
        <v>1205</v>
      </c>
      <c r="M131" s="992"/>
      <c r="N131" s="992"/>
      <c r="O131" s="978" t="s">
        <v>1206</v>
      </c>
      <c r="P131" s="979"/>
      <c r="Q131" s="980" t="s">
        <v>1207</v>
      </c>
      <c r="R131" s="981"/>
      <c r="S131" s="982"/>
      <c r="T131" s="607" t="s">
        <v>1208</v>
      </c>
      <c r="U131" s="609" t="s">
        <v>1209</v>
      </c>
      <c r="V131" s="608" t="s">
        <v>1210</v>
      </c>
      <c r="W131" s="610" t="s">
        <v>1211</v>
      </c>
      <c r="X131" s="607" t="s">
        <v>1210</v>
      </c>
      <c r="Y131" s="609" t="s">
        <v>1211</v>
      </c>
      <c r="Z131" s="607" t="s">
        <v>1210</v>
      </c>
      <c r="AA131" s="609" t="s">
        <v>1211</v>
      </c>
    </row>
    <row r="132" spans="1:28" x14ac:dyDescent="0.2">
      <c r="A132" s="984"/>
      <c r="B132" s="987"/>
      <c r="C132" s="616" t="str">
        <f>$C$7</f>
        <v>Mini</v>
      </c>
      <c r="D132" s="617" t="str">
        <f>$D$7</f>
        <v>Midi</v>
      </c>
      <c r="E132" s="617" t="str">
        <f>$E$7</f>
        <v>Básico</v>
      </c>
      <c r="F132" s="616" t="str">
        <f>$C$7</f>
        <v>Mini</v>
      </c>
      <c r="G132" s="617" t="str">
        <f>$D$7</f>
        <v>Midi</v>
      </c>
      <c r="H132" s="617" t="str">
        <f>$E$7</f>
        <v>Básico</v>
      </c>
      <c r="I132" s="616" t="str">
        <f>$C$7</f>
        <v>Mini</v>
      </c>
      <c r="J132" s="617" t="str">
        <f>$D$7</f>
        <v>Midi</v>
      </c>
      <c r="K132" s="617" t="str">
        <f>$E$7</f>
        <v>Básico</v>
      </c>
      <c r="L132" s="616" t="str">
        <f>$C$7</f>
        <v>Mini</v>
      </c>
      <c r="M132" s="617" t="str">
        <f>$D$7</f>
        <v>Midi</v>
      </c>
      <c r="N132" s="617" t="str">
        <f>$E$7</f>
        <v>Básico</v>
      </c>
      <c r="O132" s="667" t="s">
        <v>1203</v>
      </c>
      <c r="P132" s="668" t="s">
        <v>1204</v>
      </c>
      <c r="Q132" s="620" t="str">
        <f>C132</f>
        <v>Mini</v>
      </c>
      <c r="R132" s="621" t="str">
        <f>D132</f>
        <v>Midi</v>
      </c>
      <c r="S132" s="622" t="str">
        <f>E132</f>
        <v>Básico</v>
      </c>
      <c r="T132" s="623" t="str">
        <f>C132</f>
        <v>Mini</v>
      </c>
      <c r="U132" s="624" t="str">
        <f>C132</f>
        <v>Mini</v>
      </c>
      <c r="V132" s="625" t="str">
        <f>D132</f>
        <v>Midi</v>
      </c>
      <c r="W132" s="626" t="str">
        <f>D132</f>
        <v>Midi</v>
      </c>
      <c r="X132" s="623" t="str">
        <f>E132</f>
        <v>Básico</v>
      </c>
      <c r="Y132" s="624" t="str">
        <f>E132</f>
        <v>Básico</v>
      </c>
      <c r="Z132" s="627" t="s">
        <v>1218</v>
      </c>
      <c r="AA132" s="628" t="s">
        <v>1218</v>
      </c>
    </row>
    <row r="133" spans="1:28" x14ac:dyDescent="0.2">
      <c r="A133" s="984"/>
      <c r="B133" s="633">
        <v>0</v>
      </c>
      <c r="C133" s="634">
        <v>0</v>
      </c>
      <c r="F133" s="965"/>
      <c r="G133" s="966"/>
      <c r="H133" s="675"/>
      <c r="I133" s="598"/>
      <c r="J133" s="598"/>
      <c r="K133" s="676"/>
      <c r="L133" s="634">
        <f>IF(A131&lt;=$F$3,C133+F133-I133,0)</f>
        <v>0</v>
      </c>
      <c r="M133" s="598">
        <f>IF(A131&lt;=$F$3,D133+G133-J133,0)</f>
        <v>0</v>
      </c>
      <c r="N133" s="598">
        <f>IF(A131&lt;=$F$3,E133+H133-K133,0)</f>
        <v>0</v>
      </c>
      <c r="O133" s="635">
        <f>IF(A131&lt;=$F$3,F133*Q133+G133*R133+H133*S133,0)</f>
        <v>0</v>
      </c>
      <c r="P133" s="636">
        <f>IF(A131&lt;=$F$3,I133*Q133+J133*R133+K133*S133,0)</f>
        <v>0</v>
      </c>
      <c r="Q133" s="637">
        <f t="shared" ref="Q133:S148" si="59">Q108</f>
        <v>525500</v>
      </c>
      <c r="R133" s="638">
        <f t="shared" si="59"/>
        <v>703800</v>
      </c>
      <c r="S133" s="639">
        <f t="shared" si="59"/>
        <v>743200</v>
      </c>
      <c r="T133" s="637">
        <f>L133*$AH$6*AD$12</f>
        <v>0</v>
      </c>
      <c r="U133" s="640" t="e">
        <f>$AH$6*(1-AE$11)*((1+HLOOKUP($A$131,FC_Premissas!$D$5:$W$16,14,FALSE)^0.0833-1))*L133*12</f>
        <v>#REF!</v>
      </c>
      <c r="V133" s="638">
        <f>M133*$AP$6*AL$12</f>
        <v>0</v>
      </c>
      <c r="W133" s="669" t="e">
        <f>$AP$6*(1-AM$11)*((1+HLOOKUP($A$131,FC_Premissas!$D$5:$W$16,14,FALSE)^0.0833-1))*M133*12</f>
        <v>#REF!</v>
      </c>
      <c r="X133" s="637">
        <f>N133*$AX$6*AT$12</f>
        <v>0</v>
      </c>
      <c r="Y133" s="640" t="e">
        <f>$AX$6*(1-AU$11)*((1+HLOOKUP($A$131,FC_Premissas!$D$5:$W$16,14,FALSE)^0.0833-1))*N133*12</f>
        <v>#REF!</v>
      </c>
      <c r="Z133" s="638">
        <f t="shared" ref="Z133:AA153" si="60">T133+V133+X133</f>
        <v>0</v>
      </c>
      <c r="AA133" s="669" t="e">
        <f t="shared" si="60"/>
        <v>#REF!</v>
      </c>
      <c r="AB133" s="641"/>
    </row>
    <row r="134" spans="1:28" x14ac:dyDescent="0.2">
      <c r="A134" s="984"/>
      <c r="B134" s="633">
        <v>1</v>
      </c>
      <c r="C134" s="634">
        <f>IF(A131&lt;=$F$3,L108,0)</f>
        <v>0</v>
      </c>
      <c r="D134" s="598">
        <f>IF(A131&lt;=$F$3,M108,0)</f>
        <v>0</v>
      </c>
      <c r="E134" s="598">
        <f>IF(A131&lt;=$F$3,N108,0)</f>
        <v>0</v>
      </c>
      <c r="F134" s="634"/>
      <c r="G134" s="598"/>
      <c r="H134" s="677"/>
      <c r="I134" s="598"/>
      <c r="J134" s="598"/>
      <c r="K134" s="676"/>
      <c r="L134" s="634">
        <f>IF(A131&lt;=$F$3,C134+F134-I134,0)</f>
        <v>0</v>
      </c>
      <c r="M134" s="598">
        <f>IF(A131&lt;=$F$3,D134+G134-J134,0)</f>
        <v>0</v>
      </c>
      <c r="N134" s="598">
        <f>IF(A131&lt;=$F$3,E134+H134-K134,0)</f>
        <v>0</v>
      </c>
      <c r="O134" s="635">
        <f>IF(A131&lt;=$F$3,F134*Q134+G134*R134+H134*S134,0)</f>
        <v>0</v>
      </c>
      <c r="P134" s="636">
        <f>IF(A131&lt;=$F$3,I134*Q134+J134*R134+K134*S134,0)</f>
        <v>0</v>
      </c>
      <c r="Q134" s="637">
        <f t="shared" si="59"/>
        <v>439509.09090909094</v>
      </c>
      <c r="R134" s="638">
        <f t="shared" si="59"/>
        <v>590567.30181818188</v>
      </c>
      <c r="S134" s="639">
        <f t="shared" si="59"/>
        <v>623520.02909090917</v>
      </c>
      <c r="T134" s="637">
        <f>L134*$AH$6*AD$13</f>
        <v>0</v>
      </c>
      <c r="U134" s="640" t="e">
        <f>$AH$6*(1-AE$12)*((1+HLOOKUP($A$131,FC_Premissas!$D$5:$W$16,14,FALSE)^0.0833-1))*L134*12</f>
        <v>#REF!</v>
      </c>
      <c r="V134" s="638">
        <f>M134*$AP$6*AL$13</f>
        <v>0</v>
      </c>
      <c r="W134" s="669" t="e">
        <f>$AP$6*(1-AM$12)*((1+HLOOKUP($A$131,FC_Premissas!$D$5:$W$16,14,FALSE))^0.0833-1)*M134*12</f>
        <v>#REF!</v>
      </c>
      <c r="X134" s="637">
        <f>N134*$AX$6*AT$13</f>
        <v>0</v>
      </c>
      <c r="Y134" s="640" t="e">
        <f>$AX$6*(1-AU$12)*((1+HLOOKUP($A$131,FC_Premissas!$D$5:$W$16,14,FALSE))^0.0833-1)*N134*12</f>
        <v>#REF!</v>
      </c>
      <c r="Z134" s="638">
        <f t="shared" si="60"/>
        <v>0</v>
      </c>
      <c r="AA134" s="669" t="e">
        <f t="shared" si="60"/>
        <v>#REF!</v>
      </c>
      <c r="AB134" s="641"/>
    </row>
    <row r="135" spans="1:28" x14ac:dyDescent="0.2">
      <c r="A135" s="984"/>
      <c r="B135" s="633">
        <v>2</v>
      </c>
      <c r="C135" s="634">
        <f>IF(A131&lt;=$F$3,L109,0)</f>
        <v>0</v>
      </c>
      <c r="D135" s="598">
        <f>IF(A131&lt;=$F$3,M109,0)</f>
        <v>0</v>
      </c>
      <c r="E135" s="598">
        <f>IF(A131&lt;=$F$3,N109,0)</f>
        <v>0</v>
      </c>
      <c r="F135" s="634"/>
      <c r="G135" s="598"/>
      <c r="H135" s="677"/>
      <c r="I135" s="598"/>
      <c r="J135" s="598"/>
      <c r="K135" s="676"/>
      <c r="L135" s="634">
        <f>IF(A131&lt;=$F$3,C135+F135-I135,0)</f>
        <v>0</v>
      </c>
      <c r="M135" s="598">
        <f>IF(A131&lt;=$F$3,D135+G135-J135,0)</f>
        <v>0</v>
      </c>
      <c r="N135" s="598">
        <f>IF(A131&lt;=$F$3,E135+H135-K135,0)</f>
        <v>0</v>
      </c>
      <c r="O135" s="635">
        <f>IF(A131&lt;=$F$3,F135*Q135+G135*R135+H135*S135,0)</f>
        <v>0</v>
      </c>
      <c r="P135" s="636">
        <f>IF(A131&lt;=$F$3,I135*Q135+J135*R135+K135*S135,0)</f>
        <v>0</v>
      </c>
      <c r="Q135" s="637">
        <f t="shared" si="59"/>
        <v>362117.27272727271</v>
      </c>
      <c r="R135" s="638">
        <f t="shared" si="59"/>
        <v>488657.87345454545</v>
      </c>
      <c r="S135" s="639">
        <f t="shared" si="59"/>
        <v>515808.05527272727</v>
      </c>
      <c r="T135" s="637">
        <f>L135*$AH$6*AD$14</f>
        <v>0</v>
      </c>
      <c r="U135" s="640" t="e">
        <f>$AH$6*(1-AE$13)*((1+HLOOKUP($A$131,FC_Premissas!$D$5:$W$16,14,FALSE)^0.0833-1))*L135*12</f>
        <v>#REF!</v>
      </c>
      <c r="V135" s="638">
        <f>M135*$AP$6*AL$14</f>
        <v>0</v>
      </c>
      <c r="W135" s="669" t="e">
        <f>$AP$6*(1-AM$13)*((1+HLOOKUP($A$131,FC_Premissas!$D$5:$W$16,14,FALSE))^0.0833-1)*M135*12</f>
        <v>#REF!</v>
      </c>
      <c r="X135" s="637">
        <f>N135*$AX$6*AT$14</f>
        <v>0</v>
      </c>
      <c r="Y135" s="640" t="e">
        <f>$AX$6*(1-AU$13)*((1+HLOOKUP($A$131,FC_Premissas!$D$5:$W$16,14,FALSE))^0.0833-1)*N135*12</f>
        <v>#REF!</v>
      </c>
      <c r="Z135" s="638">
        <f t="shared" si="60"/>
        <v>0</v>
      </c>
      <c r="AA135" s="669" t="e">
        <f t="shared" si="60"/>
        <v>#REF!</v>
      </c>
      <c r="AB135" s="641"/>
    </row>
    <row r="136" spans="1:28" x14ac:dyDescent="0.2">
      <c r="A136" s="984"/>
      <c r="B136" s="633">
        <v>3</v>
      </c>
      <c r="C136" s="634">
        <f>IF(A131&lt;=$F$3,L110,0)</f>
        <v>0</v>
      </c>
      <c r="D136" s="598">
        <f>IF(A131&lt;=$F$3,M110,0)</f>
        <v>0</v>
      </c>
      <c r="E136" s="598">
        <f>IF(A131&lt;=$F$3,N110,0)</f>
        <v>0</v>
      </c>
      <c r="F136" s="634"/>
      <c r="G136" s="598"/>
      <c r="H136" s="677"/>
      <c r="I136" s="598"/>
      <c r="J136" s="598"/>
      <c r="K136" s="676"/>
      <c r="L136" s="634">
        <f>IF(A131&lt;=$F$3,C136+F136-I136,0)</f>
        <v>0</v>
      </c>
      <c r="M136" s="598">
        <f>IF(A131&lt;=$F$3,D136+G136-J136,0)</f>
        <v>0</v>
      </c>
      <c r="N136" s="598">
        <f>IF(A131&lt;=$F$3,E136+H136-K136,0)</f>
        <v>0</v>
      </c>
      <c r="O136" s="635">
        <f>IF(A131&lt;=$F$3,F136*Q136+G136*R136+H136*S136,0)</f>
        <v>0</v>
      </c>
      <c r="P136" s="636">
        <f>IF(A131&lt;=$F$3,I136*Q136+J136*R136+K136*S136,0)</f>
        <v>0</v>
      </c>
      <c r="Q136" s="637">
        <f t="shared" si="59"/>
        <v>293324.54545454541</v>
      </c>
      <c r="R136" s="638">
        <f t="shared" si="59"/>
        <v>398071.71490909089</v>
      </c>
      <c r="S136" s="639">
        <f t="shared" si="59"/>
        <v>420064.07854545448</v>
      </c>
      <c r="T136" s="637">
        <f>L136*$AH$6*AD$15</f>
        <v>0</v>
      </c>
      <c r="U136" s="640" t="e">
        <f>$AH$6*(1-AE$14)*((1+HLOOKUP($A$131,FC_Premissas!$D$5:$W$16,14,FALSE)^0.0833-1))*L136*12</f>
        <v>#REF!</v>
      </c>
      <c r="V136" s="638">
        <f>M136*$AP$6*AL$15</f>
        <v>0</v>
      </c>
      <c r="W136" s="669" t="e">
        <f>$AP$6*(1-AM$14)*((1+HLOOKUP($A$131,FC_Premissas!$D$5:$W$16,14,FALSE))^0.0833-1)*M136*12</f>
        <v>#REF!</v>
      </c>
      <c r="X136" s="637">
        <f>N136*$AX$6*AT$15</f>
        <v>0</v>
      </c>
      <c r="Y136" s="640" t="e">
        <f>$AX$6*(1-AU$14)*((1+HLOOKUP($A$131,FC_Premissas!$D$5:$W$16,14,FALSE))^0.0833-1)*N136*12</f>
        <v>#REF!</v>
      </c>
      <c r="Z136" s="638">
        <f t="shared" si="60"/>
        <v>0</v>
      </c>
      <c r="AA136" s="669" t="e">
        <f t="shared" si="60"/>
        <v>#REF!</v>
      </c>
      <c r="AB136" s="641"/>
    </row>
    <row r="137" spans="1:28" x14ac:dyDescent="0.2">
      <c r="A137" s="984"/>
      <c r="B137" s="633">
        <v>4</v>
      </c>
      <c r="C137" s="634">
        <f>IF(A131&lt;=$F$3,L111,0)</f>
        <v>0</v>
      </c>
      <c r="D137" s="598">
        <f>IF(A131&lt;=$F$3,M111,0)</f>
        <v>0</v>
      </c>
      <c r="E137" s="598">
        <f>IF(A131&lt;=$F$3,N111,0)</f>
        <v>0</v>
      </c>
      <c r="F137" s="634"/>
      <c r="G137" s="598"/>
      <c r="H137" s="677"/>
      <c r="I137" s="598"/>
      <c r="J137" s="598"/>
      <c r="K137" s="676"/>
      <c r="L137" s="634">
        <f>IF(A131&lt;=$F$3,C137+F137-I137,0)</f>
        <v>0</v>
      </c>
      <c r="M137" s="598">
        <f>IF(A131&lt;=$F$3,D137+G137-J137,0)</f>
        <v>0</v>
      </c>
      <c r="N137" s="598">
        <f>IF(A131&lt;=$F$3,E137+H137-K137,0)</f>
        <v>0</v>
      </c>
      <c r="O137" s="635">
        <f>IF(A131&lt;=$F$3,F137*Q137+G137*R137+H137*S137,0)</f>
        <v>0</v>
      </c>
      <c r="P137" s="636">
        <f>IF(A131&lt;=$F$3,I137*Q137+J137*R137+K137*S137,0)</f>
        <v>0</v>
      </c>
      <c r="Q137" s="637">
        <f t="shared" si="59"/>
        <v>233130.90909090909</v>
      </c>
      <c r="R137" s="638">
        <f t="shared" si="59"/>
        <v>318808.82618181815</v>
      </c>
      <c r="S137" s="639">
        <f t="shared" si="59"/>
        <v>336288.09890909091</v>
      </c>
      <c r="T137" s="637">
        <f>L137*$AH$6*AD$16</f>
        <v>0</v>
      </c>
      <c r="U137" s="640" t="e">
        <f>$AH$6*(1-AE$15)*((1+HLOOKUP($A$131,FC_Premissas!$D$5:$W$16,14,FALSE)^0.0833-1))*L137*12</f>
        <v>#REF!</v>
      </c>
      <c r="V137" s="638">
        <f>M137*$AP$6*AL$16</f>
        <v>0</v>
      </c>
      <c r="W137" s="669" t="e">
        <f>$AP$6*(1-AM$15)*((1+HLOOKUP($A$131,FC_Premissas!$D$5:$W$16,14,FALSE))^0.0833-1)*M137*12</f>
        <v>#REF!</v>
      </c>
      <c r="X137" s="637">
        <f>N137*$AX$6*AT$16</f>
        <v>0</v>
      </c>
      <c r="Y137" s="640" t="e">
        <f>$AX$6*(1-AU$15)*((1+HLOOKUP($A$131,FC_Premissas!$D$5:$W$16,14,FALSE))^0.0833-1)*N137*12</f>
        <v>#REF!</v>
      </c>
      <c r="Z137" s="638">
        <f t="shared" si="60"/>
        <v>0</v>
      </c>
      <c r="AA137" s="669" t="e">
        <f t="shared" si="60"/>
        <v>#REF!</v>
      </c>
      <c r="AB137" s="641"/>
    </row>
    <row r="138" spans="1:28" x14ac:dyDescent="0.2">
      <c r="A138" s="984"/>
      <c r="B138" s="633">
        <v>5</v>
      </c>
      <c r="C138" s="634">
        <f>IF(A131&lt;=$F$3,L112,0)</f>
        <v>0</v>
      </c>
      <c r="D138" s="598">
        <f>IF(A131&lt;=$F$3,M112,0)</f>
        <v>0</v>
      </c>
      <c r="E138" s="598">
        <f>IF(A131&lt;=$F$3,N112,0)</f>
        <v>0</v>
      </c>
      <c r="F138" s="634"/>
      <c r="G138" s="598"/>
      <c r="H138" s="677">
        <v>1</v>
      </c>
      <c r="I138" s="598"/>
      <c r="J138" s="598"/>
      <c r="K138" s="676"/>
      <c r="L138" s="634">
        <f>IF(A131&lt;=$F$3,C138+F138-I138,0)</f>
        <v>0</v>
      </c>
      <c r="M138" s="598">
        <f>IF(A131&lt;=$F$3,D138+G138-J138,0)</f>
        <v>0</v>
      </c>
      <c r="N138" s="598">
        <f>IF(A131&lt;=$F$3,E138+H138-K138,0)</f>
        <v>1</v>
      </c>
      <c r="O138" s="635">
        <f>IF(A131&lt;=$F$3,F138*Q138+G138*R138+H138*S138,0)</f>
        <v>264480.11636363639</v>
      </c>
      <c r="P138" s="636">
        <f>IF(A131&lt;=$F$3,I138*Q138+J138*R138+K138*S138,0)</f>
        <v>0</v>
      </c>
      <c r="Q138" s="637">
        <f t="shared" si="59"/>
        <v>181536.36363636365</v>
      </c>
      <c r="R138" s="638">
        <f t="shared" si="59"/>
        <v>250869.20727272728</v>
      </c>
      <c r="S138" s="639">
        <f t="shared" si="59"/>
        <v>264480.11636363639</v>
      </c>
      <c r="T138" s="637">
        <f>L138*$AH$6*AD$17</f>
        <v>0</v>
      </c>
      <c r="U138" s="640" t="e">
        <f>$AH$6*(1-AE$16)*((1+HLOOKUP($A$131,FC_Premissas!$D$5:$W$16,14,FALSE)^0.0833-1))*L138*12</f>
        <v>#REF!</v>
      </c>
      <c r="V138" s="638">
        <f>M138*$AP$6*AL$17</f>
        <v>0</v>
      </c>
      <c r="W138" s="669" t="e">
        <f>$AP$6*(1-AM$16)*((1+HLOOKUP($A$131,FC_Premissas!$D$5:$W$16,14,FALSE))^0.0833-1)*M138*12</f>
        <v>#REF!</v>
      </c>
      <c r="X138" s="637">
        <f>N138*$AX$6*AT$17</f>
        <v>59839.985454545451</v>
      </c>
      <c r="Y138" s="640" t="e">
        <f>$AX$6*(1-AU$16)*((1+HLOOKUP($A$131,FC_Premissas!$D$5:$W$16,14,FALSE))^0.0833-1)*N138*12</f>
        <v>#REF!</v>
      </c>
      <c r="Z138" s="638">
        <f t="shared" si="60"/>
        <v>59839.985454545451</v>
      </c>
      <c r="AA138" s="669" t="e">
        <f t="shared" si="60"/>
        <v>#REF!</v>
      </c>
      <c r="AB138" s="641"/>
    </row>
    <row r="139" spans="1:28" x14ac:dyDescent="0.2">
      <c r="A139" s="984"/>
      <c r="B139" s="633">
        <v>6</v>
      </c>
      <c r="C139" s="634">
        <f>IF(A131&lt;=$F$3,L113,0)</f>
        <v>0</v>
      </c>
      <c r="D139" s="598">
        <f>IF(A131&lt;=$F$3,M113,0)</f>
        <v>0</v>
      </c>
      <c r="E139" s="598">
        <f>IF(A131&lt;=$F$3,N113,0)</f>
        <v>3</v>
      </c>
      <c r="F139" s="634"/>
      <c r="G139" s="598"/>
      <c r="H139" s="650"/>
      <c r="I139" s="598"/>
      <c r="J139" s="598"/>
      <c r="K139" s="676"/>
      <c r="L139" s="634">
        <f>IF(A131&lt;=$F$3,C139+F139-I139,0)</f>
        <v>0</v>
      </c>
      <c r="M139" s="598">
        <f>IF(A131&lt;=$F$3,D139+G139-J139,0)</f>
        <v>0</v>
      </c>
      <c r="N139" s="598">
        <f>IF(A131&lt;=$F$3,E139+H139-K139,0)</f>
        <v>3</v>
      </c>
      <c r="O139" s="635">
        <f>IF(A131&lt;=$F$3,F139*Q139+G139*R139+H139*S139,0)</f>
        <v>0</v>
      </c>
      <c r="P139" s="636">
        <f>IF(A131&lt;=$F$3,I139*Q139+J139*R139+K139*S139,0)</f>
        <v>0</v>
      </c>
      <c r="Q139" s="637">
        <f t="shared" si="59"/>
        <v>138540.90909090912</v>
      </c>
      <c r="R139" s="638">
        <f t="shared" si="59"/>
        <v>194252.85818181818</v>
      </c>
      <c r="S139" s="639">
        <f t="shared" si="59"/>
        <v>204640.13090909092</v>
      </c>
      <c r="T139" s="637">
        <f>L139*$AH$6*AD$18</f>
        <v>0</v>
      </c>
      <c r="U139" s="640" t="e">
        <f>$AH$6*(1-AE$17)*((1+HLOOKUP($A$131,FC_Premissas!$D$5:$W$16,14,FALSE)^0.0833-1))*L139*12</f>
        <v>#REF!</v>
      </c>
      <c r="V139" s="638">
        <f>M139*$AP$6*AL$18</f>
        <v>0</v>
      </c>
      <c r="W139" s="669" t="e">
        <f>$AP$6*(1-AM$17)*((1+HLOOKUP($A$131,FC_Premissas!$D$5:$W$16,14,FALSE))^0.0833-1)*M139*12</f>
        <v>#REF!</v>
      </c>
      <c r="X139" s="637">
        <f>N139*$AX$6*AT$18</f>
        <v>143615.9650909091</v>
      </c>
      <c r="Y139" s="640" t="e">
        <f>$AX$6*(1-AU$17)*((1+HLOOKUP($A$131,FC_Premissas!$D$5:$W$16,14,FALSE))^0.0833-1)*N139*12</f>
        <v>#REF!</v>
      </c>
      <c r="Z139" s="638">
        <f t="shared" si="60"/>
        <v>143615.9650909091</v>
      </c>
      <c r="AA139" s="669" t="e">
        <f t="shared" si="60"/>
        <v>#REF!</v>
      </c>
      <c r="AB139" s="641"/>
    </row>
    <row r="140" spans="1:28" x14ac:dyDescent="0.2">
      <c r="A140" s="984"/>
      <c r="B140" s="633">
        <v>7</v>
      </c>
      <c r="C140" s="634">
        <f>IF(A131&lt;=$F$3,L114,0)</f>
        <v>0</v>
      </c>
      <c r="D140" s="598">
        <f>IF(A131&lt;=$F$3,M114,0)</f>
        <v>0</v>
      </c>
      <c r="E140" s="598">
        <f>IF(A131&lt;=$F$3,N114,0)</f>
        <v>0</v>
      </c>
      <c r="F140" s="634"/>
      <c r="G140" s="598"/>
      <c r="H140" s="650"/>
      <c r="I140" s="598"/>
      <c r="J140" s="598"/>
      <c r="K140" s="676"/>
      <c r="L140" s="634">
        <f>IF(A131&lt;=$F$3,C140+F140-I140,0)</f>
        <v>0</v>
      </c>
      <c r="M140" s="598">
        <f>IF(A131&lt;=$F$3,D140+G140-J140,0)</f>
        <v>0</v>
      </c>
      <c r="N140" s="598">
        <f>IF(A131&lt;=$F$3,E140+H140-K140,0)</f>
        <v>0</v>
      </c>
      <c r="O140" s="635">
        <f>IF(A131&lt;=$F$3,F140*Q140+G140*R140+H140*S140,0)</f>
        <v>0</v>
      </c>
      <c r="P140" s="636">
        <f>IF(A131&lt;=$F$3,I140*Q140+J140*R140+K140*S140,0)</f>
        <v>0</v>
      </c>
      <c r="Q140" s="637">
        <f t="shared" si="59"/>
        <v>104144.54545454548</v>
      </c>
      <c r="R140" s="638">
        <f t="shared" si="59"/>
        <v>148959.77890909094</v>
      </c>
      <c r="S140" s="639">
        <f t="shared" si="59"/>
        <v>156768.14254545458</v>
      </c>
      <c r="T140" s="637">
        <f>L140*$AH$6*AD$19</f>
        <v>0</v>
      </c>
      <c r="U140" s="640" t="e">
        <f>$AH$6*(1-AE$18)*((1+HLOOKUP($A$131,FC_Premissas!$D$5:$W$16,14,FALSE)^0.0833-1))*L140*12</f>
        <v>#REF!</v>
      </c>
      <c r="V140" s="638">
        <f>M140*$AP$6*AL$19</f>
        <v>0</v>
      </c>
      <c r="W140" s="669" t="e">
        <f>$AP$6*(1-AM$18)*((1+HLOOKUP($A$131,FC_Premissas!$D$5:$W$16,14,FALSE))^0.0833-1)*M140*12</f>
        <v>#REF!</v>
      </c>
      <c r="X140" s="637">
        <f>N140*$AX$6*AT$19</f>
        <v>0</v>
      </c>
      <c r="Y140" s="640" t="e">
        <f>$AX$6*(1-AU$18)*((1+HLOOKUP($A$131,FC_Premissas!$D$5:$W$16,14,FALSE))^0.0833-1)*N140*12</f>
        <v>#REF!</v>
      </c>
      <c r="Z140" s="638">
        <f t="shared" si="60"/>
        <v>0</v>
      </c>
      <c r="AA140" s="669" t="e">
        <f t="shared" si="60"/>
        <v>#REF!</v>
      </c>
      <c r="AB140" s="641"/>
    </row>
    <row r="141" spans="1:28" x14ac:dyDescent="0.2">
      <c r="A141" s="984"/>
      <c r="B141" s="633">
        <v>8</v>
      </c>
      <c r="C141" s="634">
        <f>IF(A131&lt;=$F$3,L115,0)</f>
        <v>0</v>
      </c>
      <c r="D141" s="598">
        <f>IF(A131&lt;=$F$3,M115,0)</f>
        <v>0</v>
      </c>
      <c r="E141" s="598">
        <f>IF(A131&lt;=$F$3,N115,0)</f>
        <v>3</v>
      </c>
      <c r="F141" s="634"/>
      <c r="G141" s="598"/>
      <c r="H141" s="650"/>
      <c r="I141" s="598"/>
      <c r="J141" s="598"/>
      <c r="K141" s="676"/>
      <c r="L141" s="634">
        <f>IF(A131&lt;=$F$3,C141+F141-I141,0)</f>
        <v>0</v>
      </c>
      <c r="M141" s="598">
        <f>IF(A131&lt;=$F$3,D141+G141-J141,0)</f>
        <v>0</v>
      </c>
      <c r="N141" s="598">
        <f>IF(A131&lt;=$F$3,E141+H141-K141,0)</f>
        <v>3</v>
      </c>
      <c r="O141" s="635">
        <f>IF(A131&lt;=$F$3,F141*Q141+G141*R141+H141*S141,0)</f>
        <v>0</v>
      </c>
      <c r="P141" s="636">
        <f>IF(A131&lt;=$F$3,I141*Q141+J141*R141+K141*S141,0)</f>
        <v>0</v>
      </c>
      <c r="Q141" s="637">
        <f t="shared" si="59"/>
        <v>78347.272727272764</v>
      </c>
      <c r="R141" s="638">
        <f t="shared" si="59"/>
        <v>114989.9694545455</v>
      </c>
      <c r="S141" s="639">
        <f t="shared" si="59"/>
        <v>120864.15127272732</v>
      </c>
      <c r="T141" s="637">
        <f>L141*$AH$6*AD$20</f>
        <v>0</v>
      </c>
      <c r="U141" s="640" t="e">
        <f>$AH$6*(1-AE$19)*((1+HLOOKUP($A$131,FC_Premissas!$D$5:$W$16,14,FALSE)^0.0833-1))*L141*12</f>
        <v>#REF!</v>
      </c>
      <c r="V141" s="638">
        <f>M141*$AP$6*AL$20</f>
        <v>0</v>
      </c>
      <c r="W141" s="669" t="e">
        <f>$AP$6*(1-AM$19)*((1+HLOOKUP($A$131,FC_Premissas!$D$5:$W$16,14,FALSE))^0.0833-1)*M141*12</f>
        <v>#REF!</v>
      </c>
      <c r="X141" s="637">
        <f>N141*$AX$6*AT$20</f>
        <v>71807.98254545455</v>
      </c>
      <c r="Y141" s="640" t="e">
        <f>$AX$6*(1-AU$19)*((1+HLOOKUP($A$131,FC_Premissas!$D$5:$W$16,14,FALSE))^0.0833-1)*N141*12</f>
        <v>#REF!</v>
      </c>
      <c r="Z141" s="638">
        <f t="shared" si="60"/>
        <v>71807.98254545455</v>
      </c>
      <c r="AA141" s="669" t="e">
        <f t="shared" si="60"/>
        <v>#REF!</v>
      </c>
      <c r="AB141" s="641"/>
    </row>
    <row r="142" spans="1:28" x14ac:dyDescent="0.2">
      <c r="A142" s="984"/>
      <c r="B142" s="633">
        <v>9</v>
      </c>
      <c r="C142" s="634">
        <f>IF(A131&lt;=$F$3,L116,0)</f>
        <v>0</v>
      </c>
      <c r="D142" s="598">
        <f>IF(A131&lt;=$F$3,M116,0)</f>
        <v>0</v>
      </c>
      <c r="E142" s="598">
        <f>IF(A131&lt;=$F$3,N116,0)</f>
        <v>0</v>
      </c>
      <c r="F142" s="634"/>
      <c r="G142" s="598"/>
      <c r="H142" s="650"/>
      <c r="I142" s="598"/>
      <c r="J142" s="598"/>
      <c r="K142" s="676"/>
      <c r="L142" s="634">
        <f>IF(A131&lt;=$F$3,C142+F142-I142,0)</f>
        <v>0</v>
      </c>
      <c r="M142" s="598">
        <f>IF(A131&lt;=$F$3,D142+G142-J142,0)</f>
        <v>0</v>
      </c>
      <c r="N142" s="598">
        <f>IF(A131&lt;=$F$3,E142+H142-K142,0)</f>
        <v>0</v>
      </c>
      <c r="O142" s="635">
        <f>IF(A131&lt;=$F$3,F142*Q142+G142*R142+H142*S142,0)</f>
        <v>0</v>
      </c>
      <c r="P142" s="636">
        <f>IF(A131&lt;=$F$3,I142*Q142+J142*R142+K142*S142,0)</f>
        <v>0</v>
      </c>
      <c r="Q142" s="637">
        <f t="shared" si="59"/>
        <v>61149.090909090955</v>
      </c>
      <c r="R142" s="638">
        <f t="shared" si="59"/>
        <v>92343.429818181874</v>
      </c>
      <c r="S142" s="639">
        <f t="shared" si="59"/>
        <v>96928.157090909139</v>
      </c>
      <c r="T142" s="637">
        <f>L142*$AH$6*AD$21</f>
        <v>0</v>
      </c>
      <c r="U142" s="640" t="e">
        <f>$AH$6*(1-AE$20)*((1+HLOOKUP($A$131,FC_Premissas!$D$5:$W$16,14,FALSE)^0.0833-1))*L142*12</f>
        <v>#REF!</v>
      </c>
      <c r="V142" s="638">
        <f>M142*$AP$6*AL$21</f>
        <v>0</v>
      </c>
      <c r="W142" s="669" t="e">
        <f>$AP$6*(1-AM$20)*((1+HLOOKUP($A$131,FC_Premissas!$D$5:$W$16,14,FALSE))^0.0833-1)*M142*12</f>
        <v>#REF!</v>
      </c>
      <c r="X142" s="637">
        <f>N142*$AX$6*AT$21</f>
        <v>0</v>
      </c>
      <c r="Y142" s="640" t="e">
        <f>$AX$6*(1-AU$20)*((1+HLOOKUP($A$131,FC_Premissas!$D$5:$W$16,14,FALSE))^0.0833-1)*N142*12</f>
        <v>#REF!</v>
      </c>
      <c r="Z142" s="638">
        <f t="shared" si="60"/>
        <v>0</v>
      </c>
      <c r="AA142" s="669" t="e">
        <f t="shared" si="60"/>
        <v>#REF!</v>
      </c>
      <c r="AB142" s="641"/>
    </row>
    <row r="143" spans="1:28" x14ac:dyDescent="0.2">
      <c r="A143" s="984"/>
      <c r="B143" s="633">
        <v>10</v>
      </c>
      <c r="C143" s="634">
        <f>IF(A131&lt;=$F$3,L117,0)</f>
        <v>0</v>
      </c>
      <c r="D143" s="598">
        <f>IF(A131&lt;=$F$3,M117,0)</f>
        <v>0</v>
      </c>
      <c r="E143" s="598">
        <f>IF(A131&lt;=$F$3,N117,0)</f>
        <v>4</v>
      </c>
      <c r="F143" s="634"/>
      <c r="G143" s="598"/>
      <c r="H143" s="650"/>
      <c r="I143" s="598"/>
      <c r="J143" s="598"/>
      <c r="K143" s="676"/>
      <c r="L143" s="634">
        <f>IF(A131&lt;=$F$3,C143+F143-I143,0)</f>
        <v>0</v>
      </c>
      <c r="M143" s="598">
        <f>IF(A131&lt;=$F$3,D143+G143-J143,0)</f>
        <v>0</v>
      </c>
      <c r="N143" s="598">
        <f>IF(A131&lt;=$F$3,E143+H143-K143,0)</f>
        <v>4</v>
      </c>
      <c r="O143" s="635">
        <f>IF(A131&lt;=$F$3,F143*Q143+G143*R143+H143*S143,0)</f>
        <v>0</v>
      </c>
      <c r="P143" s="636">
        <f>IF(A131&lt;=$F$3,I143*Q143+J143*R143+K143*S143,0)</f>
        <v>0</v>
      </c>
      <c r="Q143" s="637">
        <f t="shared" si="59"/>
        <v>52550.000000000044</v>
      </c>
      <c r="R143" s="638">
        <f t="shared" si="59"/>
        <v>81020.160000000062</v>
      </c>
      <c r="S143" s="639">
        <f t="shared" si="59"/>
        <v>84960.160000000062</v>
      </c>
      <c r="T143" s="637">
        <f>L143*$AH$6*AD$22</f>
        <v>0</v>
      </c>
      <c r="U143" s="640" t="e">
        <f>$AH$6*(1-AE$21)*((1+HLOOKUP($A$131,FC_Premissas!$D$5:$W$16,14,FALSE)^0.0833-1))*L143*12</f>
        <v>#REF!</v>
      </c>
      <c r="V143" s="638">
        <f>M143*$AP$6*AL$22</f>
        <v>0</v>
      </c>
      <c r="W143" s="669" t="e">
        <f>$AP$6*(1-AM$21)*((1+HLOOKUP($A$131,FC_Premissas!$D$5:$W$16,14,FALSE))^0.0833-1)*M143*12</f>
        <v>#REF!</v>
      </c>
      <c r="X143" s="637">
        <f>N143*$AX$6*AT$22</f>
        <v>0</v>
      </c>
      <c r="Y143" s="640" t="e">
        <f>$AX$6*(1-AU$21)*((1+HLOOKUP($A$131,FC_Premissas!$D$5:$W$16,14,FALSE))^0.0833-1)*N143*12</f>
        <v>#REF!</v>
      </c>
      <c r="Z143" s="638">
        <f t="shared" si="60"/>
        <v>0</v>
      </c>
      <c r="AA143" s="669" t="e">
        <f t="shared" si="60"/>
        <v>#REF!</v>
      </c>
      <c r="AB143" s="641"/>
    </row>
    <row r="144" spans="1:28" x14ac:dyDescent="0.2">
      <c r="A144" s="984"/>
      <c r="B144" s="633">
        <v>11</v>
      </c>
      <c r="C144" s="634">
        <f>IF(A131&lt;=$F$3,L118,0)</f>
        <v>0</v>
      </c>
      <c r="D144" s="598">
        <f>IF(A131&lt;=$F$3,M118,0)</f>
        <v>0</v>
      </c>
      <c r="E144" s="598">
        <f>IF(A131&lt;=$F$3,N118,0)</f>
        <v>0</v>
      </c>
      <c r="F144" s="634"/>
      <c r="G144" s="598"/>
      <c r="H144" s="650"/>
      <c r="I144" s="598"/>
      <c r="J144" s="598"/>
      <c r="K144" s="676"/>
      <c r="L144" s="634">
        <f>IF(A131&lt;=$F$3,C144+F144-I144,0)</f>
        <v>0</v>
      </c>
      <c r="M144" s="598">
        <f>IF(A131&lt;=$F$3,D144+G144-J144,0)</f>
        <v>0</v>
      </c>
      <c r="N144" s="598">
        <f>IF(A131&lt;=$F$3,E144+H144-K144,0)</f>
        <v>0</v>
      </c>
      <c r="O144" s="635">
        <f>IF(A131&lt;=$F$3,F144*Q144+G144*R144+H144*S144,0)</f>
        <v>0</v>
      </c>
      <c r="P144" s="636">
        <f>IF(A131&lt;=$F$3,I144*Q144+J144*R144+K144*S144,0)</f>
        <v>0</v>
      </c>
      <c r="Q144" s="637">
        <f t="shared" si="59"/>
        <v>52550.000000000044</v>
      </c>
      <c r="R144" s="638">
        <f t="shared" si="59"/>
        <v>81020.160000000062</v>
      </c>
      <c r="S144" s="639">
        <f t="shared" si="59"/>
        <v>84960.160000000062</v>
      </c>
      <c r="T144" s="637">
        <f>L144*$AH$6*AD$23</f>
        <v>0</v>
      </c>
      <c r="U144" s="640" t="e">
        <f>$AH$6*(1-AE$22)*((1+HLOOKUP($A$131,FC_Premissas!$D$5:$W$16,14,FALSE)^0.0833-1))*L144*12</f>
        <v>#REF!</v>
      </c>
      <c r="V144" s="638">
        <f>M144*$AP$6*AL$23</f>
        <v>0</v>
      </c>
      <c r="W144" s="669" t="e">
        <f>$AP$6*(1-AM$22)*((1+HLOOKUP($A$131,FC_Premissas!$D$5:$W$16,14,FALSE))^0.0833-1)*M144*12</f>
        <v>#REF!</v>
      </c>
      <c r="X144" s="637">
        <f>N144*$AX$6*AT$23</f>
        <v>0</v>
      </c>
      <c r="Y144" s="640" t="e">
        <f>$AX$6*(1-AU$22)*((1+HLOOKUP($A$131,FC_Premissas!$D$5:$W$16,14,FALSE))^0.0833-1)*N144*12</f>
        <v>#REF!</v>
      </c>
      <c r="Z144" s="638">
        <f t="shared" si="60"/>
        <v>0</v>
      </c>
      <c r="AA144" s="669" t="e">
        <f t="shared" si="60"/>
        <v>#REF!</v>
      </c>
      <c r="AB144" s="641"/>
    </row>
    <row r="145" spans="1:28" x14ac:dyDescent="0.2">
      <c r="A145" s="984"/>
      <c r="B145" s="633">
        <v>12</v>
      </c>
      <c r="C145" s="634">
        <f>IF(A131&lt;=$F$3,L119,0)</f>
        <v>0</v>
      </c>
      <c r="D145" s="598">
        <f>IF(A131&lt;=$F$3,M119,0)</f>
        <v>0</v>
      </c>
      <c r="E145" s="598">
        <f>IF(A131&lt;=$F$3,N119,0)</f>
        <v>1</v>
      </c>
      <c r="F145" s="634"/>
      <c r="G145" s="598"/>
      <c r="H145" s="650"/>
      <c r="I145" s="598"/>
      <c r="J145" s="598"/>
      <c r="K145" s="676">
        <v>1</v>
      </c>
      <c r="L145" s="634">
        <f>IF(A131&lt;=$F$3,C145+F145-I145,0)</f>
        <v>0</v>
      </c>
      <c r="M145" s="598">
        <f>IF(A131&lt;=$F$3,D145+G145-J145,0)</f>
        <v>0</v>
      </c>
      <c r="N145" s="598">
        <f>IF(A131&lt;=$F$3,E145+H145-K145,0)</f>
        <v>0</v>
      </c>
      <c r="O145" s="635">
        <f>IF(A131&lt;=$F$3,F145*Q145+G145*R145+H145*S145,0)</f>
        <v>0</v>
      </c>
      <c r="P145" s="636">
        <f>IF(A131&lt;=$F$3,I145*Q145+J145*R145+K145*S145,0)</f>
        <v>84960.160000000062</v>
      </c>
      <c r="Q145" s="637">
        <f t="shared" si="59"/>
        <v>52550.000000000044</v>
      </c>
      <c r="R145" s="638">
        <f t="shared" si="59"/>
        <v>81020.160000000062</v>
      </c>
      <c r="S145" s="639">
        <f t="shared" si="59"/>
        <v>84960.160000000062</v>
      </c>
      <c r="T145" s="637">
        <f>L145*$AH$6*AD$24</f>
        <v>0</v>
      </c>
      <c r="U145" s="640" t="e">
        <f>$AH$6*(1-AE$23)*((1+HLOOKUP($A$131,FC_Premissas!$D$5:$W$16,14,FALSE)^0.0833-1))*L145*12</f>
        <v>#REF!</v>
      </c>
      <c r="V145" s="638">
        <f>M145*$AP$6*AL$24</f>
        <v>0</v>
      </c>
      <c r="W145" s="669" t="e">
        <f>$AP$6*(1-AM$23)*((1+HLOOKUP($A$131,FC_Premissas!$D$5:$W$16,14,FALSE))^0.0833-1)*M145*12</f>
        <v>#REF!</v>
      </c>
      <c r="X145" s="637">
        <f>N145*$AX$6*AT$24</f>
        <v>0</v>
      </c>
      <c r="Y145" s="640" t="e">
        <f>$AX$6*(1-AU$23)*((1+HLOOKUP($A$131,FC_Premissas!$D$5:$W$16,14,FALSE))^0.0833-1)*N145*12</f>
        <v>#REF!</v>
      </c>
      <c r="Z145" s="638">
        <f t="shared" si="60"/>
        <v>0</v>
      </c>
      <c r="AA145" s="669" t="e">
        <f t="shared" si="60"/>
        <v>#REF!</v>
      </c>
      <c r="AB145" s="641"/>
    </row>
    <row r="146" spans="1:28" x14ac:dyDescent="0.2">
      <c r="A146" s="984"/>
      <c r="B146" s="633">
        <v>13</v>
      </c>
      <c r="C146" s="634">
        <f>IF(A131&lt;=$F$3,L120,0)</f>
        <v>0</v>
      </c>
      <c r="D146" s="598">
        <f>IF(A131&lt;=$F$3,M120,0)</f>
        <v>0</v>
      </c>
      <c r="E146" s="650">
        <f>IF(A131&lt;=$F$3,N120,0)</f>
        <v>0</v>
      </c>
      <c r="F146" s="634"/>
      <c r="G146" s="598"/>
      <c r="H146" s="598"/>
      <c r="I146" s="634"/>
      <c r="J146" s="598"/>
      <c r="K146" s="676"/>
      <c r="L146" s="634">
        <f>IF(A131&lt;=$F$3,C146+F146-I146,0)</f>
        <v>0</v>
      </c>
      <c r="M146" s="598">
        <f>IF(A131&lt;=$F$3,D146+G146-J146,0)</f>
        <v>0</v>
      </c>
      <c r="N146" s="598">
        <f>IF(A131&lt;=$F$3,E146+H146-K146,0)</f>
        <v>0</v>
      </c>
      <c r="O146" s="635">
        <f>IF(A131&lt;=$F$3,F146*Q146+G146*R146+H146*S146,0)</f>
        <v>0</v>
      </c>
      <c r="P146" s="636">
        <f>IF(A131&lt;=$F$3,I146*Q146+J146*R146+K146*S146,0)</f>
        <v>0</v>
      </c>
      <c r="Q146" s="637">
        <f t="shared" si="59"/>
        <v>52550.000000000044</v>
      </c>
      <c r="R146" s="638">
        <f t="shared" si="59"/>
        <v>81020.160000000062</v>
      </c>
      <c r="S146" s="639">
        <f t="shared" si="59"/>
        <v>84960.160000000062</v>
      </c>
      <c r="T146" s="637">
        <f>L146*$AH$6*AD$25</f>
        <v>0</v>
      </c>
      <c r="U146" s="640" t="e">
        <f>$AH$6*(1-AE$24)*((1+HLOOKUP($A$131,FC_Premissas!$D$5:$W$16,14,FALSE)^0.0833-1))*L146*12</f>
        <v>#REF!</v>
      </c>
      <c r="V146" s="638">
        <f>M146*$AP$6*AL$25</f>
        <v>0</v>
      </c>
      <c r="W146" s="669" t="e">
        <f>$AP$6*(1-AM$24)*((1+HLOOKUP($A$131,FC_Premissas!$D$5:$W$16,14,FALSE))^0.0833-1)*M146*12</f>
        <v>#REF!</v>
      </c>
      <c r="X146" s="637">
        <f>N146*$AX$6*AT$25</f>
        <v>0</v>
      </c>
      <c r="Y146" s="640" t="e">
        <f>$AX$6*(1-AU$24)*((1+HLOOKUP($A$131,FC_Premissas!$D$5:$W$16,14,FALSE))^0.0833-1)*N146*12</f>
        <v>#REF!</v>
      </c>
      <c r="Z146" s="638">
        <f t="shared" si="60"/>
        <v>0</v>
      </c>
      <c r="AA146" s="669" t="e">
        <f t="shared" si="60"/>
        <v>#REF!</v>
      </c>
      <c r="AB146" s="641"/>
    </row>
    <row r="147" spans="1:28" x14ac:dyDescent="0.2">
      <c r="A147" s="984"/>
      <c r="B147" s="633">
        <v>14</v>
      </c>
      <c r="C147" s="634">
        <f>IF(A131&lt;=$F$3,L121,0)</f>
        <v>0</v>
      </c>
      <c r="D147" s="598">
        <f>IF(A131&lt;=$F$3,M121,0)</f>
        <v>0</v>
      </c>
      <c r="E147" s="650">
        <f>IF(A131&lt;=$F$3,N121,0)</f>
        <v>0</v>
      </c>
      <c r="F147" s="634"/>
      <c r="G147" s="598"/>
      <c r="H147" s="598"/>
      <c r="I147" s="634"/>
      <c r="J147" s="598"/>
      <c r="K147" s="598"/>
      <c r="L147" s="634">
        <f>IF(A131&lt;=$F$3,C147+F147-I147,0)</f>
        <v>0</v>
      </c>
      <c r="M147" s="598">
        <f>IF(A131&lt;=$F$3,D147+G147-J147,0)</f>
        <v>0</v>
      </c>
      <c r="N147" s="598">
        <f>IF(A131&lt;=$F$3,E147+H147-K147,0)</f>
        <v>0</v>
      </c>
      <c r="O147" s="635">
        <f>IF(A131&lt;=$F$3,F147*Q147+G147*R147+H147*S147,0)</f>
        <v>0</v>
      </c>
      <c r="P147" s="636">
        <f>IF(A131&lt;=$F$3,I147*Q147+J147*R147+K147*S147,0)</f>
        <v>0</v>
      </c>
      <c r="Q147" s="637">
        <f t="shared" si="59"/>
        <v>52550.000000000044</v>
      </c>
      <c r="R147" s="638">
        <f t="shared" si="59"/>
        <v>81020.160000000062</v>
      </c>
      <c r="S147" s="639">
        <f t="shared" si="59"/>
        <v>84960.160000000062</v>
      </c>
      <c r="T147" s="637">
        <f>L147*$AH$6*AD$26</f>
        <v>0</v>
      </c>
      <c r="U147" s="640" t="e">
        <f>$AH$6*(1-AE$25)*((1+HLOOKUP($A$131,FC_Premissas!$D$5:$W$16,14,FALSE)^0.0833-1))*L147*12</f>
        <v>#REF!</v>
      </c>
      <c r="V147" s="638">
        <f>M147*$AP$6*AL$26</f>
        <v>0</v>
      </c>
      <c r="W147" s="669" t="e">
        <f>$AP$6*(1-AM$25)*((1+HLOOKUP($A$131,FC_Premissas!$D$5:$W$16,14,FALSE))^0.0833-1)*M147*12</f>
        <v>#REF!</v>
      </c>
      <c r="X147" s="637">
        <f>N147*$AX$6*AT$26</f>
        <v>0</v>
      </c>
      <c r="Y147" s="640" t="e">
        <f>$AX$6*(1-AU$25)*((1+HLOOKUP($A$131,FC_Premissas!$D$5:$W$16,14,FALSE))^0.0833-1)*N147*12</f>
        <v>#REF!</v>
      </c>
      <c r="Z147" s="638">
        <f t="shared" si="60"/>
        <v>0</v>
      </c>
      <c r="AA147" s="669" t="e">
        <f t="shared" si="60"/>
        <v>#REF!</v>
      </c>
      <c r="AB147" s="641"/>
    </row>
    <row r="148" spans="1:28" x14ac:dyDescent="0.2">
      <c r="A148" s="984"/>
      <c r="B148" s="633">
        <v>15</v>
      </c>
      <c r="C148" s="634">
        <f>IF(A131&lt;=$F$3,L122,0)</f>
        <v>0</v>
      </c>
      <c r="D148" s="598">
        <f>IF(A131&lt;=$F$3,M122,0)</f>
        <v>0</v>
      </c>
      <c r="E148" s="650">
        <f>IF(A131&lt;=$F$3,N122,0)</f>
        <v>0</v>
      </c>
      <c r="F148" s="634"/>
      <c r="G148" s="598"/>
      <c r="H148" s="598"/>
      <c r="I148" s="634"/>
      <c r="J148" s="598"/>
      <c r="K148" s="598"/>
      <c r="L148" s="634">
        <f>IF(A131&lt;=$F$3,C148+F148-I148,0)</f>
        <v>0</v>
      </c>
      <c r="M148" s="598">
        <f>IF(A131&lt;=$F$3,D148+G148-J148,0)</f>
        <v>0</v>
      </c>
      <c r="N148" s="598">
        <f>IF(A131&lt;=$F$3,E148+H148-K148,0)</f>
        <v>0</v>
      </c>
      <c r="O148" s="635">
        <f>IF(A131&lt;=$F$3,F148*Q148+G148*R148+H148*S148,0)</f>
        <v>0</v>
      </c>
      <c r="P148" s="636">
        <f>IF(A131&lt;=$F$3,I148*Q148+J148*R148+K148*S148,0)</f>
        <v>0</v>
      </c>
      <c r="Q148" s="637">
        <f t="shared" si="59"/>
        <v>52550.000000000044</v>
      </c>
      <c r="R148" s="638">
        <f t="shared" si="59"/>
        <v>81020.160000000062</v>
      </c>
      <c r="S148" s="639">
        <f t="shared" si="59"/>
        <v>84960.160000000062</v>
      </c>
      <c r="T148" s="637">
        <f t="shared" ref="T148:T153" si="61">L148*$AH$6*AD$27</f>
        <v>0</v>
      </c>
      <c r="U148" s="640" t="e">
        <f>$AH$6*(1-AE$26)*((1+HLOOKUP($A$131,FC_Premissas!$D$5:$W$16,14,FALSE)^0.0833-1))*L148*12</f>
        <v>#REF!</v>
      </c>
      <c r="V148" s="638">
        <f t="shared" ref="V148:V153" si="62">M148*$AP$6*AL$27</f>
        <v>0</v>
      </c>
      <c r="W148" s="669" t="e">
        <f>$AP$6*(1-AM$26)*((1+HLOOKUP($A$131,FC_Premissas!$D$5:$W$16,14,FALSE))^0.0833-1)*M148*12</f>
        <v>#REF!</v>
      </c>
      <c r="X148" s="637">
        <f t="shared" ref="X148:X153" si="63">N148*$AX$6*AT$27</f>
        <v>0</v>
      </c>
      <c r="Y148" s="640" t="e">
        <f>$AX$6*(1-AU$26)*((1+HLOOKUP($A$131,FC_Premissas!$D$5:$W$16,14,FALSE))^0.0833-1)*N148*12</f>
        <v>#REF!</v>
      </c>
      <c r="Z148" s="638">
        <f t="shared" si="60"/>
        <v>0</v>
      </c>
      <c r="AA148" s="640" t="e">
        <f t="shared" si="60"/>
        <v>#REF!</v>
      </c>
      <c r="AB148" s="641"/>
    </row>
    <row r="149" spans="1:28" x14ac:dyDescent="0.2">
      <c r="A149" s="984"/>
      <c r="B149" s="633">
        <v>16</v>
      </c>
      <c r="C149" s="634">
        <f>IF(A131&lt;=$F$3,L123,0)</f>
        <v>0</v>
      </c>
      <c r="D149" s="598">
        <f>IF(A131&lt;=$F$3,M123,0)</f>
        <v>0</v>
      </c>
      <c r="E149" s="650">
        <f>IF(A131&lt;=$F$3,N123,0)</f>
        <v>0</v>
      </c>
      <c r="F149" s="634"/>
      <c r="G149" s="598"/>
      <c r="H149" s="598"/>
      <c r="I149" s="634"/>
      <c r="J149" s="598"/>
      <c r="K149" s="598"/>
      <c r="L149" s="634">
        <f>IF(A131&lt;=$F$3,C149+F149-I149,0)</f>
        <v>0</v>
      </c>
      <c r="M149" s="598">
        <f>IF(A131&lt;=$F$3,D149+G149-J149,0)</f>
        <v>0</v>
      </c>
      <c r="N149" s="598">
        <f>IF(A131&lt;=$F$3,E149+H149-K149,0)</f>
        <v>0</v>
      </c>
      <c r="O149" s="635">
        <f>IF(A131&lt;=$F$3,F149*Q149+G149*R149+H149*S149,0)</f>
        <v>0</v>
      </c>
      <c r="P149" s="636">
        <f>IF(A131&lt;=$F$3,I149*Q149+J149*R149+K149*S149,0)</f>
        <v>0</v>
      </c>
      <c r="Q149" s="637">
        <f t="shared" ref="Q149:S153" si="64">Q124</f>
        <v>52550.000000000044</v>
      </c>
      <c r="R149" s="638">
        <f t="shared" si="64"/>
        <v>81020.160000000062</v>
      </c>
      <c r="S149" s="639">
        <f t="shared" si="64"/>
        <v>84960.160000000062</v>
      </c>
      <c r="T149" s="637">
        <f t="shared" si="61"/>
        <v>0</v>
      </c>
      <c r="U149" s="640" t="e">
        <f>$AH$6*(1-AE$27)*((1+HLOOKUP($A$131,FC_Premissas!$D$5:$W$16,14,FALSE)^0.0833-1))*L149*12</f>
        <v>#REF!</v>
      </c>
      <c r="V149" s="638">
        <f t="shared" si="62"/>
        <v>0</v>
      </c>
      <c r="W149" s="669" t="e">
        <f>$AP$6*(1-AM$27)*((1+HLOOKUP($A$131,FC_Premissas!$D$5:$W$16,14,FALSE))^0.0833-1)*M149*12</f>
        <v>#REF!</v>
      </c>
      <c r="X149" s="637">
        <f t="shared" si="63"/>
        <v>0</v>
      </c>
      <c r="Y149" s="640" t="e">
        <f>$AX$6*(1-AU$27)*((1+HLOOKUP($A$131,FC_Premissas!$D$5:$W$16,14,FALSE))^0.0833-1)*N149*12</f>
        <v>#REF!</v>
      </c>
      <c r="Z149" s="638">
        <f t="shared" si="60"/>
        <v>0</v>
      </c>
      <c r="AA149" s="640" t="e">
        <f t="shared" si="60"/>
        <v>#REF!</v>
      </c>
      <c r="AB149" s="641"/>
    </row>
    <row r="150" spans="1:28" x14ac:dyDescent="0.2">
      <c r="A150" s="984"/>
      <c r="B150" s="633">
        <v>17</v>
      </c>
      <c r="C150" s="634">
        <f>IF(A131&lt;=$F$3,L124,0)</f>
        <v>0</v>
      </c>
      <c r="D150" s="598">
        <f>IF(A131&lt;=$F$3,M124,0)</f>
        <v>0</v>
      </c>
      <c r="E150" s="650">
        <f>IF(A131&lt;=$F$3,N124,0)</f>
        <v>0</v>
      </c>
      <c r="F150" s="634"/>
      <c r="G150" s="598"/>
      <c r="H150" s="598"/>
      <c r="I150" s="634"/>
      <c r="J150" s="598"/>
      <c r="K150" s="598"/>
      <c r="L150" s="634">
        <f>IF(A131&lt;=$F$3,C150+F150-I150,0)</f>
        <v>0</v>
      </c>
      <c r="M150" s="598">
        <f>IF(A131&lt;=$F$3,D150+G150-J150,0)</f>
        <v>0</v>
      </c>
      <c r="N150" s="598">
        <f>IF(A131&lt;=$F$3,E150+H150-K150,0)</f>
        <v>0</v>
      </c>
      <c r="O150" s="635">
        <f>IF(A131&lt;=$F$3,F150*Q150+G150*R150+H150*S150,0)</f>
        <v>0</v>
      </c>
      <c r="P150" s="636">
        <f>IF(A131&lt;=$F$3,I150*Q150+J150*R150+K150*S150,0)</f>
        <v>0</v>
      </c>
      <c r="Q150" s="637">
        <f t="shared" si="64"/>
        <v>52550.000000000044</v>
      </c>
      <c r="R150" s="638">
        <f t="shared" si="64"/>
        <v>81020.160000000062</v>
      </c>
      <c r="S150" s="639">
        <f t="shared" si="64"/>
        <v>84960.160000000062</v>
      </c>
      <c r="T150" s="637">
        <f t="shared" si="61"/>
        <v>0</v>
      </c>
      <c r="U150" s="640" t="e">
        <f>$AH$6*(1-AE$28)*((1+HLOOKUP($A$131,FC_Premissas!$D$5:$W$16,14,FALSE)^0.0833-1))*L150*12</f>
        <v>#REF!</v>
      </c>
      <c r="V150" s="638">
        <f t="shared" si="62"/>
        <v>0</v>
      </c>
      <c r="W150" s="669" t="e">
        <f>$AP$6*(1-AM$28)*((1+HLOOKUP($A$131,FC_Premissas!$D$5:$W$16,14,FALSE))^0.0833-1)*M150*12</f>
        <v>#REF!</v>
      </c>
      <c r="X150" s="637">
        <f t="shared" si="63"/>
        <v>0</v>
      </c>
      <c r="Y150" s="640" t="e">
        <f>$AX$6*(1-AU$28)*((1+HLOOKUP($A$131,FC_Premissas!$D$5:$W$16,14,FALSE))^0.0833-1)*N150*12</f>
        <v>#REF!</v>
      </c>
      <c r="Z150" s="638">
        <f t="shared" si="60"/>
        <v>0</v>
      </c>
      <c r="AA150" s="640" t="e">
        <f t="shared" si="60"/>
        <v>#REF!</v>
      </c>
      <c r="AB150" s="641"/>
    </row>
    <row r="151" spans="1:28" x14ac:dyDescent="0.2">
      <c r="A151" s="984"/>
      <c r="B151" s="633">
        <v>18</v>
      </c>
      <c r="C151" s="634">
        <f>IF(A131&lt;=$F$3,L125,0)</f>
        <v>0</v>
      </c>
      <c r="D151" s="598">
        <f>IF(A131&lt;=$F$3,M125,0)</f>
        <v>0</v>
      </c>
      <c r="E151" s="650">
        <f>IF(A131&lt;=$F$3,N125,0)</f>
        <v>0</v>
      </c>
      <c r="F151" s="634"/>
      <c r="G151" s="598"/>
      <c r="H151" s="598"/>
      <c r="I151" s="634"/>
      <c r="J151" s="598"/>
      <c r="K151" s="598"/>
      <c r="L151" s="634">
        <f>IF(A131&lt;=$F$3,C151+F151-I151,0)</f>
        <v>0</v>
      </c>
      <c r="M151" s="598">
        <f>IF(A131&lt;=$F$3,D151+G151-J151,0)</f>
        <v>0</v>
      </c>
      <c r="N151" s="598">
        <f>IF(A131&lt;=$F$3,E151+H151-K151,0)</f>
        <v>0</v>
      </c>
      <c r="O151" s="635">
        <f>IF(A131&lt;=$F$3,F151*Q151+G151*R151+H151*S151,0)</f>
        <v>0</v>
      </c>
      <c r="P151" s="636">
        <f>IF(A131&lt;=$F$3,I151*Q151+J151*R151+K151*S151,0)</f>
        <v>0</v>
      </c>
      <c r="Q151" s="637">
        <f t="shared" si="64"/>
        <v>52550.000000000044</v>
      </c>
      <c r="R151" s="638">
        <f t="shared" si="64"/>
        <v>81020.160000000062</v>
      </c>
      <c r="S151" s="639">
        <f t="shared" si="64"/>
        <v>84960.160000000062</v>
      </c>
      <c r="T151" s="637">
        <f t="shared" si="61"/>
        <v>0</v>
      </c>
      <c r="U151" s="640" t="e">
        <f>$AH$6*(1-AE$29)*((1+HLOOKUP($A$131,FC_Premissas!$D$5:$W$16,14,FALSE)^0.0833-1))*L151*12</f>
        <v>#REF!</v>
      </c>
      <c r="V151" s="638">
        <f t="shared" si="62"/>
        <v>0</v>
      </c>
      <c r="W151" s="669" t="e">
        <f>$AP$6*(1-AM$29)*((1+HLOOKUP($A$131,FC_Premissas!$D$5:$W$16,14,FALSE))^0.0833-1)*M151*12</f>
        <v>#REF!</v>
      </c>
      <c r="X151" s="637">
        <f t="shared" si="63"/>
        <v>0</v>
      </c>
      <c r="Y151" s="640" t="e">
        <f>$AX$6*(1-AU$29)*((1+HLOOKUP($A$131,FC_Premissas!$D$5:$W$16,14,FALSE))^0.0833-1)*N151*12</f>
        <v>#REF!</v>
      </c>
      <c r="Z151" s="638">
        <f t="shared" si="60"/>
        <v>0</v>
      </c>
      <c r="AA151" s="640" t="e">
        <f t="shared" si="60"/>
        <v>#REF!</v>
      </c>
      <c r="AB151" s="641"/>
    </row>
    <row r="152" spans="1:28" x14ac:dyDescent="0.2">
      <c r="A152" s="984"/>
      <c r="B152" s="633">
        <v>19</v>
      </c>
      <c r="C152" s="634">
        <f>IF(A131&lt;=$F$3,L126,0)</f>
        <v>0</v>
      </c>
      <c r="D152" s="598">
        <f>IF(A131&lt;=$F$3,M126,0)</f>
        <v>0</v>
      </c>
      <c r="E152" s="650">
        <f>IF(A131&lt;=$F$3,N126,0)</f>
        <v>0</v>
      </c>
      <c r="F152" s="634"/>
      <c r="G152" s="598"/>
      <c r="H152" s="598"/>
      <c r="I152" s="634"/>
      <c r="J152" s="598"/>
      <c r="K152" s="598"/>
      <c r="L152" s="634">
        <f>IF(A131&lt;=$F$3,C152+F152-I152,0)</f>
        <v>0</v>
      </c>
      <c r="M152" s="598">
        <f>IF(A131&lt;=$F$3,D152+G152-J152,0)</f>
        <v>0</v>
      </c>
      <c r="N152" s="598">
        <f>IF(A131&lt;=$F$3,E152+H152-K152,0)</f>
        <v>0</v>
      </c>
      <c r="O152" s="635">
        <f>IF(A131&lt;=$F$3,F152*Q152+G152*R152+H152*S152,0)</f>
        <v>0</v>
      </c>
      <c r="P152" s="636">
        <f>IF(A131&lt;=$F$3,I152*Q152+J152*R152+K152*S152,0)</f>
        <v>0</v>
      </c>
      <c r="Q152" s="637">
        <f t="shared" si="64"/>
        <v>52550.000000000044</v>
      </c>
      <c r="R152" s="638">
        <f t="shared" si="64"/>
        <v>81020.160000000062</v>
      </c>
      <c r="S152" s="639">
        <f t="shared" si="64"/>
        <v>84960.160000000062</v>
      </c>
      <c r="T152" s="637">
        <f t="shared" si="61"/>
        <v>0</v>
      </c>
      <c r="U152" s="640" t="e">
        <f>$AH$6*(1-AE$30)*((1+HLOOKUP($A$131,FC_Premissas!$D$5:$W$16,14,FALSE)^0.0833-1))*L152*12</f>
        <v>#REF!</v>
      </c>
      <c r="V152" s="638">
        <f t="shared" si="62"/>
        <v>0</v>
      </c>
      <c r="W152" s="669" t="e">
        <f>$AP$6*(1-AM$30)*((1+HLOOKUP($A$131,FC_Premissas!$D$5:$W$16,14,FALSE))^0.0833-1)*M152*12</f>
        <v>#REF!</v>
      </c>
      <c r="X152" s="637">
        <f t="shared" si="63"/>
        <v>0</v>
      </c>
      <c r="Y152" s="640" t="e">
        <f>$AX$6*(1-AU$30)*((1+HLOOKUP($A$131,FC_Premissas!$D$5:$W$16,14,FALSE))^0.0833-1)*N152*12</f>
        <v>#REF!</v>
      </c>
      <c r="Z152" s="638">
        <f t="shared" si="60"/>
        <v>0</v>
      </c>
      <c r="AA152" s="640" t="e">
        <f t="shared" si="60"/>
        <v>#REF!</v>
      </c>
      <c r="AB152" s="641"/>
    </row>
    <row r="153" spans="1:28" x14ac:dyDescent="0.2">
      <c r="A153" s="984"/>
      <c r="B153" s="633">
        <v>20</v>
      </c>
      <c r="C153" s="616">
        <f>IF(A131&lt;=$F$3,L127,0)</f>
        <v>0</v>
      </c>
      <c r="D153" s="617">
        <f>IF(A131&lt;=$F$3,M127,0)</f>
        <v>0</v>
      </c>
      <c r="E153" s="650">
        <f>IF(A131&lt;=$F$3,N127,0)</f>
        <v>0</v>
      </c>
      <c r="F153" s="616"/>
      <c r="G153" s="617"/>
      <c r="H153" s="598"/>
      <c r="I153" s="616"/>
      <c r="J153" s="617"/>
      <c r="K153" s="598"/>
      <c r="L153" s="616">
        <f>IF(A131&lt;=$F$3,C153+F153-I153,0)</f>
        <v>0</v>
      </c>
      <c r="M153" s="617">
        <f>IF(A131&lt;=$F$3,D153+G153-J153,0)</f>
        <v>0</v>
      </c>
      <c r="N153" s="598">
        <f>IF(A131&lt;=$F$3,E153+H153-K153,0)</f>
        <v>0</v>
      </c>
      <c r="O153" s="635">
        <f>IF(A131&lt;=$F$3,F153*Q153+G153*R153+H153*S153,0)</f>
        <v>0</v>
      </c>
      <c r="P153" s="636">
        <f>IF(A131&lt;=$F$3,I153*Q153+J153*R153+K153*S153,0)</f>
        <v>0</v>
      </c>
      <c r="Q153" s="651">
        <f t="shared" si="64"/>
        <v>52550.000000000044</v>
      </c>
      <c r="R153" s="652">
        <f t="shared" si="64"/>
        <v>81020.160000000062</v>
      </c>
      <c r="S153" s="653">
        <f t="shared" si="64"/>
        <v>84960.160000000062</v>
      </c>
      <c r="T153" s="651">
        <f t="shared" si="61"/>
        <v>0</v>
      </c>
      <c r="U153" s="654" t="e">
        <f>$AH$6*(1-AE$31)*((1+HLOOKUP($A$131,FC_Premissas!$D$5:$W$16,14,FALSE)^0.0833-1))*L153*12</f>
        <v>#REF!</v>
      </c>
      <c r="V153" s="652">
        <f t="shared" si="62"/>
        <v>0</v>
      </c>
      <c r="W153" s="678" t="e">
        <f>$AP$6*(1-AM$31)*((1+HLOOKUP($A$131,FC_Premissas!$D$5:$W$16,14,FALSE))^0.0833-1)*M153*12</f>
        <v>#REF!</v>
      </c>
      <c r="X153" s="651">
        <f t="shared" si="63"/>
        <v>0</v>
      </c>
      <c r="Y153" s="654" t="e">
        <f>$AX$6*(1-AU$31)*((1+HLOOKUP($A$131,FC_Premissas!$D$5:$W$16,14,FALSE))^0.0833-1)*N153*12</f>
        <v>#REF!</v>
      </c>
      <c r="Z153" s="652">
        <f t="shared" si="60"/>
        <v>0</v>
      </c>
      <c r="AA153" s="654" t="e">
        <f t="shared" si="60"/>
        <v>#REF!</v>
      </c>
      <c r="AB153" s="641"/>
    </row>
    <row r="154" spans="1:28" x14ac:dyDescent="0.2">
      <c r="A154" s="984"/>
      <c r="B154" s="655" t="s">
        <v>1228</v>
      </c>
      <c r="C154" s="656">
        <f t="shared" ref="C154:P154" si="65">SUM(C133:C153)</f>
        <v>0</v>
      </c>
      <c r="D154" s="657">
        <f t="shared" si="65"/>
        <v>0</v>
      </c>
      <c r="E154" s="658">
        <f t="shared" si="65"/>
        <v>11</v>
      </c>
      <c r="F154" s="656">
        <f t="shared" si="65"/>
        <v>0</v>
      </c>
      <c r="G154" s="657">
        <f t="shared" si="65"/>
        <v>0</v>
      </c>
      <c r="H154" s="658">
        <f t="shared" si="65"/>
        <v>1</v>
      </c>
      <c r="I154" s="656">
        <f t="shared" si="65"/>
        <v>0</v>
      </c>
      <c r="J154" s="657">
        <f t="shared" si="65"/>
        <v>0</v>
      </c>
      <c r="K154" s="658">
        <f t="shared" si="65"/>
        <v>1</v>
      </c>
      <c r="L154" s="656">
        <f t="shared" si="65"/>
        <v>0</v>
      </c>
      <c r="M154" s="657">
        <f t="shared" si="65"/>
        <v>0</v>
      </c>
      <c r="N154" s="657">
        <f t="shared" si="65"/>
        <v>11</v>
      </c>
      <c r="O154" s="659">
        <f t="shared" si="65"/>
        <v>264480.11636363639</v>
      </c>
      <c r="P154" s="660">
        <f t="shared" si="65"/>
        <v>84960.160000000062</v>
      </c>
      <c r="Q154" s="638"/>
      <c r="R154" s="638"/>
      <c r="S154" s="638"/>
      <c r="T154" s="661">
        <f t="shared" ref="T154:AA154" si="66">SUM(T133:T153)</f>
        <v>0</v>
      </c>
      <c r="U154" s="662" t="e">
        <f t="shared" si="66"/>
        <v>#REF!</v>
      </c>
      <c r="V154" s="663">
        <f t="shared" si="66"/>
        <v>0</v>
      </c>
      <c r="W154" s="662" t="e">
        <f t="shared" si="66"/>
        <v>#REF!</v>
      </c>
      <c r="X154" s="663">
        <f t="shared" si="66"/>
        <v>275263.93309090909</v>
      </c>
      <c r="Y154" s="662" t="e">
        <f t="shared" si="66"/>
        <v>#REF!</v>
      </c>
      <c r="Z154" s="663">
        <f t="shared" si="66"/>
        <v>275263.93309090909</v>
      </c>
      <c r="AA154" s="664" t="e">
        <f t="shared" si="66"/>
        <v>#REF!</v>
      </c>
      <c r="AB154" s="641"/>
    </row>
    <row r="155" spans="1:28" x14ac:dyDescent="0.2">
      <c r="A155" s="985"/>
      <c r="B155" s="977" t="s">
        <v>1229</v>
      </c>
      <c r="C155" s="977"/>
      <c r="D155" s="977"/>
      <c r="E155" s="666">
        <f>(L155*L154+M155*M154+N155*N154)/(L154+M154+N154)</f>
        <v>8</v>
      </c>
      <c r="F155" s="665" t="s">
        <v>140</v>
      </c>
      <c r="G155" s="665"/>
      <c r="H155" s="665"/>
      <c r="I155" s="665"/>
      <c r="J155" s="665"/>
      <c r="K155" s="665"/>
      <c r="L155" s="887">
        <f>IF(L154=0,0,(SUMPRODUCT(L133:L153,$B133:$B153)/L154))</f>
        <v>0</v>
      </c>
      <c r="M155" s="887">
        <f>IF(M154=0,0,(SUMPRODUCT(M133:M153,$B133:$B153)/M154))</f>
        <v>0</v>
      </c>
      <c r="N155" s="887">
        <f>IF(N154=0,0,ROUND(SUMPRODUCT(N133:N153,$B133:$B153)/N154,0))</f>
        <v>8</v>
      </c>
      <c r="O155" s="667"/>
      <c r="P155" s="668"/>
      <c r="Q155" s="638"/>
      <c r="R155" s="638"/>
      <c r="S155" s="638"/>
      <c r="T155" s="638"/>
      <c r="U155" s="669"/>
      <c r="V155" s="638"/>
      <c r="W155" s="669"/>
      <c r="X155" s="638"/>
      <c r="Y155" s="669"/>
      <c r="Z155" s="638"/>
      <c r="AA155" s="669"/>
    </row>
    <row r="156" spans="1:28" ht="12.75" customHeight="1" x14ac:dyDescent="0.2">
      <c r="A156" s="983">
        <f>A131+1</f>
        <v>7</v>
      </c>
      <c r="B156" s="986" t="s">
        <v>1077</v>
      </c>
      <c r="C156" s="988" t="s">
        <v>1202</v>
      </c>
      <c r="D156" s="989"/>
      <c r="E156" s="990"/>
      <c r="F156" s="991" t="s">
        <v>1203</v>
      </c>
      <c r="G156" s="992"/>
      <c r="H156" s="993"/>
      <c r="I156" s="991" t="s">
        <v>1204</v>
      </c>
      <c r="J156" s="992"/>
      <c r="K156" s="993"/>
      <c r="L156" s="991" t="s">
        <v>1205</v>
      </c>
      <c r="M156" s="992"/>
      <c r="N156" s="992"/>
      <c r="O156" s="978" t="s">
        <v>1206</v>
      </c>
      <c r="P156" s="979"/>
      <c r="Q156" s="980" t="s">
        <v>1207</v>
      </c>
      <c r="R156" s="981"/>
      <c r="S156" s="982"/>
      <c r="T156" s="607" t="s">
        <v>1208</v>
      </c>
      <c r="U156" s="609" t="s">
        <v>1209</v>
      </c>
      <c r="V156" s="608" t="s">
        <v>1210</v>
      </c>
      <c r="W156" s="610" t="s">
        <v>1211</v>
      </c>
      <c r="X156" s="607" t="s">
        <v>1210</v>
      </c>
      <c r="Y156" s="609" t="s">
        <v>1211</v>
      </c>
      <c r="Z156" s="607" t="s">
        <v>1210</v>
      </c>
      <c r="AA156" s="609" t="s">
        <v>1211</v>
      </c>
    </row>
    <row r="157" spans="1:28" x14ac:dyDescent="0.2">
      <c r="A157" s="984"/>
      <c r="B157" s="987"/>
      <c r="C157" s="616" t="str">
        <f>$C$7</f>
        <v>Mini</v>
      </c>
      <c r="D157" s="617" t="str">
        <f>$D$7</f>
        <v>Midi</v>
      </c>
      <c r="E157" s="617" t="str">
        <f>$E$7</f>
        <v>Básico</v>
      </c>
      <c r="F157" s="616" t="str">
        <f>$C$7</f>
        <v>Mini</v>
      </c>
      <c r="G157" s="617" t="str">
        <f>$D$7</f>
        <v>Midi</v>
      </c>
      <c r="H157" s="617" t="str">
        <f>$E$7</f>
        <v>Básico</v>
      </c>
      <c r="I157" s="616" t="str">
        <f>$C$7</f>
        <v>Mini</v>
      </c>
      <c r="J157" s="617" t="str">
        <f>$D$7</f>
        <v>Midi</v>
      </c>
      <c r="K157" s="617" t="str">
        <f>$E$7</f>
        <v>Básico</v>
      </c>
      <c r="L157" s="616" t="str">
        <f>$C$7</f>
        <v>Mini</v>
      </c>
      <c r="M157" s="617" t="str">
        <f>$D$7</f>
        <v>Midi</v>
      </c>
      <c r="N157" s="617" t="str">
        <f>$E$7</f>
        <v>Básico</v>
      </c>
      <c r="O157" s="667" t="s">
        <v>1203</v>
      </c>
      <c r="P157" s="668" t="s">
        <v>1204</v>
      </c>
      <c r="Q157" s="620" t="str">
        <f>C157</f>
        <v>Mini</v>
      </c>
      <c r="R157" s="621" t="str">
        <f>D157</f>
        <v>Midi</v>
      </c>
      <c r="S157" s="622" t="str">
        <f>E157</f>
        <v>Básico</v>
      </c>
      <c r="T157" s="623" t="str">
        <f>C157</f>
        <v>Mini</v>
      </c>
      <c r="U157" s="624" t="str">
        <f>C157</f>
        <v>Mini</v>
      </c>
      <c r="V157" s="625" t="str">
        <f>D157</f>
        <v>Midi</v>
      </c>
      <c r="W157" s="626" t="str">
        <f>D157</f>
        <v>Midi</v>
      </c>
      <c r="X157" s="623" t="str">
        <f>E157</f>
        <v>Básico</v>
      </c>
      <c r="Y157" s="624" t="str">
        <f>E157</f>
        <v>Básico</v>
      </c>
      <c r="Z157" s="627" t="s">
        <v>1218</v>
      </c>
      <c r="AA157" s="628" t="s">
        <v>1218</v>
      </c>
    </row>
    <row r="158" spans="1:28" x14ac:dyDescent="0.2">
      <c r="A158" s="984"/>
      <c r="B158" s="633">
        <v>0</v>
      </c>
      <c r="C158" s="634">
        <v>0</v>
      </c>
      <c r="F158" s="965"/>
      <c r="G158" s="966"/>
      <c r="H158" s="675"/>
      <c r="I158" s="598"/>
      <c r="J158" s="598"/>
      <c r="K158" s="676"/>
      <c r="L158" s="634">
        <f>IF(A156&lt;=$F$3,C158+F158-I158,0)</f>
        <v>0</v>
      </c>
      <c r="M158" s="598">
        <f>IF(A156&lt;=$F$3,D158+G158-J158,0)</f>
        <v>0</v>
      </c>
      <c r="N158" s="598">
        <f>IF(A156&lt;=$F$3,E158+H158-K158,0)</f>
        <v>0</v>
      </c>
      <c r="O158" s="635">
        <f>IF(A156&lt;=$F$3,F158*Q158+G158*R158+H158*S158,0)</f>
        <v>0</v>
      </c>
      <c r="P158" s="636">
        <f>IF(A156&lt;=$F$3,I158*Q158+J158*R158+K158*S158,0)</f>
        <v>0</v>
      </c>
      <c r="Q158" s="637">
        <f t="shared" ref="Q158:S173" si="67">Q133</f>
        <v>525500</v>
      </c>
      <c r="R158" s="638">
        <f t="shared" si="67"/>
        <v>703800</v>
      </c>
      <c r="S158" s="639">
        <f t="shared" si="67"/>
        <v>743200</v>
      </c>
      <c r="T158" s="637">
        <f>L158*$AH$6*AD$12</f>
        <v>0</v>
      </c>
      <c r="U158" s="640" t="e">
        <f>$AH$6*(1-AE$11)*((1+HLOOKUP($A$156,FC_Premissas!$D$5:$W$16,14,FALSE)^0.0833-1))*L158*12</f>
        <v>#REF!</v>
      </c>
      <c r="V158" s="638">
        <f>M158*$AP$6*AL$12</f>
        <v>0</v>
      </c>
      <c r="W158" s="669" t="e">
        <f>$AP$6*(1-AM$11)*((1+HLOOKUP($A$156,FC_Premissas!$D$5:$W$16,14,FALSE)^0.0833-1))*M158*12</f>
        <v>#REF!</v>
      </c>
      <c r="X158" s="637">
        <f>N158*$AX$6*AT$12</f>
        <v>0</v>
      </c>
      <c r="Y158" s="640" t="e">
        <f>$AX$6*(1-AU$11)*((1+HLOOKUP($A$156,FC_Premissas!$D$5:$W$16,14,FALSE)^0.0833-1))*N158*12</f>
        <v>#REF!</v>
      </c>
      <c r="Z158" s="638">
        <f t="shared" ref="Z158:AA178" si="68">T158+V158+X158</f>
        <v>0</v>
      </c>
      <c r="AA158" s="669" t="e">
        <f t="shared" si="68"/>
        <v>#REF!</v>
      </c>
      <c r="AB158" s="641"/>
    </row>
    <row r="159" spans="1:28" x14ac:dyDescent="0.2">
      <c r="A159" s="984"/>
      <c r="B159" s="633">
        <v>1</v>
      </c>
      <c r="C159" s="634">
        <f>IF(A156&lt;=$F$3,L133,0)</f>
        <v>0</v>
      </c>
      <c r="D159" s="598">
        <f>IF(A156&lt;=$F$3,M133,0)</f>
        <v>0</v>
      </c>
      <c r="E159" s="598">
        <f>IF(A156&lt;=$F$3,N133,0)</f>
        <v>0</v>
      </c>
      <c r="F159" s="634"/>
      <c r="G159" s="598"/>
      <c r="H159" s="677"/>
      <c r="I159" s="598"/>
      <c r="J159" s="598"/>
      <c r="K159" s="676"/>
      <c r="L159" s="634">
        <f>IF(A156&lt;=$F$3,C159+F159-I159,0)</f>
        <v>0</v>
      </c>
      <c r="M159" s="598">
        <f>IF(A156&lt;=$F$3,D159+G159-J159,0)</f>
        <v>0</v>
      </c>
      <c r="N159" s="598">
        <f>IF(A156&lt;=$F$3,E159+H159-K159,0)</f>
        <v>0</v>
      </c>
      <c r="O159" s="635">
        <f>IF(A156&lt;=$F$3,F159*Q159+G159*R159+H159*S159,0)</f>
        <v>0</v>
      </c>
      <c r="P159" s="636">
        <f>IF(A156&lt;=$F$3,I159*Q159+J159*R159+K159*S159,0)</f>
        <v>0</v>
      </c>
      <c r="Q159" s="637">
        <f t="shared" si="67"/>
        <v>439509.09090909094</v>
      </c>
      <c r="R159" s="638">
        <f t="shared" si="67"/>
        <v>590567.30181818188</v>
      </c>
      <c r="S159" s="639">
        <f t="shared" si="67"/>
        <v>623520.02909090917</v>
      </c>
      <c r="T159" s="637">
        <f>L159*$AH$6*AD$13</f>
        <v>0</v>
      </c>
      <c r="U159" s="640" t="e">
        <f>$AH$6*(1-AE$12)*((1+HLOOKUP($A$156,FC_Premissas!$D$5:$W$16,14,FALSE)^0.0833-1))*L159*12</f>
        <v>#REF!</v>
      </c>
      <c r="V159" s="638">
        <f>M159*$AP$6*AL$13</f>
        <v>0</v>
      </c>
      <c r="W159" s="669" t="e">
        <f>$AP$6*(1-AM$12)*((1+HLOOKUP($A$156,FC_Premissas!$D$5:$W$16,14,FALSE))^0.0833-1)*M159*12</f>
        <v>#REF!</v>
      </c>
      <c r="X159" s="637">
        <f>N159*$AX$6*AT$13</f>
        <v>0</v>
      </c>
      <c r="Y159" s="640" t="e">
        <f>$AX$6*(1-AU$12)*((1+HLOOKUP($A$156,FC_Premissas!$D$5:$W$16,14,FALSE))^0.0833-1)*N159*12</f>
        <v>#REF!</v>
      </c>
      <c r="Z159" s="638">
        <f t="shared" si="68"/>
        <v>0</v>
      </c>
      <c r="AA159" s="669" t="e">
        <f t="shared" si="68"/>
        <v>#REF!</v>
      </c>
      <c r="AB159" s="641"/>
    </row>
    <row r="160" spans="1:28" x14ac:dyDescent="0.2">
      <c r="A160" s="984"/>
      <c r="B160" s="633">
        <v>2</v>
      </c>
      <c r="C160" s="634">
        <f>IF(A156&lt;=$F$3,L134,0)</f>
        <v>0</v>
      </c>
      <c r="D160" s="598">
        <f>IF(A156&lt;=$F$3,M134,0)</f>
        <v>0</v>
      </c>
      <c r="E160" s="598">
        <f>IF(A156&lt;=$F$3,N134,0)</f>
        <v>0</v>
      </c>
      <c r="F160" s="634"/>
      <c r="G160" s="598"/>
      <c r="H160" s="677"/>
      <c r="I160" s="598"/>
      <c r="J160" s="598"/>
      <c r="K160" s="676"/>
      <c r="L160" s="634">
        <f>IF(A156&lt;=$F$3,C160+F160-I160,0)</f>
        <v>0</v>
      </c>
      <c r="M160" s="598">
        <f>IF(A156&lt;=$F$3,D160+G160-J160,0)</f>
        <v>0</v>
      </c>
      <c r="N160" s="598">
        <f>IF(A156&lt;=$F$3,E160+H160-K160,0)</f>
        <v>0</v>
      </c>
      <c r="O160" s="635">
        <f>IF(A156&lt;=$F$3,F160*Q160+G160*R160+H160*S160,0)</f>
        <v>0</v>
      </c>
      <c r="P160" s="636">
        <f>IF(A156&lt;=$F$3,I160*Q160+J160*R160+K160*S160,0)</f>
        <v>0</v>
      </c>
      <c r="Q160" s="637">
        <f t="shared" si="67"/>
        <v>362117.27272727271</v>
      </c>
      <c r="R160" s="638">
        <f t="shared" si="67"/>
        <v>488657.87345454545</v>
      </c>
      <c r="S160" s="639">
        <f t="shared" si="67"/>
        <v>515808.05527272727</v>
      </c>
      <c r="T160" s="637">
        <f>L160*$AH$6*AD$14</f>
        <v>0</v>
      </c>
      <c r="U160" s="640" t="e">
        <f>$AH$6*(1-AE$13)*((1+HLOOKUP($A$156,FC_Premissas!$D$5:$W$16,14,FALSE)^0.0833-1))*L160*12</f>
        <v>#REF!</v>
      </c>
      <c r="V160" s="638">
        <f>M160*$AP$6*AL$14</f>
        <v>0</v>
      </c>
      <c r="W160" s="669" t="e">
        <f>$AP$6*(1-AM$13)*((1+HLOOKUP($A$156,FC_Premissas!$D$5:$W$16,14,FALSE))^0.0833-1)*M160*12</f>
        <v>#REF!</v>
      </c>
      <c r="X160" s="637">
        <f>N160*$AX$6*AT$14</f>
        <v>0</v>
      </c>
      <c r="Y160" s="640" t="e">
        <f>$AX$6*(1-AU$13)*((1+HLOOKUP($A$156,FC_Premissas!$D$5:$W$16,14,FALSE))^0.0833-1)*N160*12</f>
        <v>#REF!</v>
      </c>
      <c r="Z160" s="638">
        <f t="shared" si="68"/>
        <v>0</v>
      </c>
      <c r="AA160" s="669" t="e">
        <f t="shared" si="68"/>
        <v>#REF!</v>
      </c>
      <c r="AB160" s="641"/>
    </row>
    <row r="161" spans="1:28" x14ac:dyDescent="0.2">
      <c r="A161" s="984"/>
      <c r="B161" s="633">
        <v>3</v>
      </c>
      <c r="C161" s="634">
        <f>IF(A156&lt;=$F$3,L135,0)</f>
        <v>0</v>
      </c>
      <c r="D161" s="598">
        <f>IF(A156&lt;=$F$3,M135,0)</f>
        <v>0</v>
      </c>
      <c r="E161" s="598">
        <f>IF(A156&lt;=$F$3,N135,0)</f>
        <v>0</v>
      </c>
      <c r="F161" s="634"/>
      <c r="G161" s="598"/>
      <c r="H161" s="677"/>
      <c r="I161" s="598"/>
      <c r="J161" s="598"/>
      <c r="K161" s="676"/>
      <c r="L161" s="634">
        <f>IF(A156&lt;=$F$3,C161+F161-I161,0)</f>
        <v>0</v>
      </c>
      <c r="M161" s="598">
        <f>IF(A156&lt;=$F$3,D161+G161-J161,0)</f>
        <v>0</v>
      </c>
      <c r="N161" s="598">
        <f>IF(A156&lt;=$F$3,E161+H161-K161,0)</f>
        <v>0</v>
      </c>
      <c r="O161" s="635">
        <f>IF(A156&lt;=$F$3,F161*Q161+G161*R161+H161*S161,0)</f>
        <v>0</v>
      </c>
      <c r="P161" s="636">
        <f>IF(A156&lt;=$F$3,I161*Q161+J161*R161+K161*S161,0)</f>
        <v>0</v>
      </c>
      <c r="Q161" s="637">
        <f t="shared" si="67"/>
        <v>293324.54545454541</v>
      </c>
      <c r="R161" s="638">
        <f t="shared" si="67"/>
        <v>398071.71490909089</v>
      </c>
      <c r="S161" s="639">
        <f t="shared" si="67"/>
        <v>420064.07854545448</v>
      </c>
      <c r="T161" s="637">
        <f>L161*$AH$6*AD$15</f>
        <v>0</v>
      </c>
      <c r="U161" s="640" t="e">
        <f>$AH$6*(1-AE$14)*((1+HLOOKUP($A$156,FC_Premissas!$D$5:$W$16,14,FALSE)^0.0833-1))*L161*12</f>
        <v>#REF!</v>
      </c>
      <c r="V161" s="638">
        <f>M161*$AP$6*AL$15</f>
        <v>0</v>
      </c>
      <c r="W161" s="669" t="e">
        <f>$AP$6*(1-AM$14)*((1+HLOOKUP($A$156,FC_Premissas!$D$5:$W$16,14,FALSE))^0.0833-1)*M161*12</f>
        <v>#REF!</v>
      </c>
      <c r="X161" s="637">
        <f>N161*$AX$6*AT$15</f>
        <v>0</v>
      </c>
      <c r="Y161" s="640" t="e">
        <f>$AX$6*(1-AU$14)*((1+HLOOKUP($A$156,FC_Premissas!$D$5:$W$16,14,FALSE))^0.0833-1)*N161*12</f>
        <v>#REF!</v>
      </c>
      <c r="Z161" s="638">
        <f t="shared" si="68"/>
        <v>0</v>
      </c>
      <c r="AA161" s="669" t="e">
        <f t="shared" si="68"/>
        <v>#REF!</v>
      </c>
      <c r="AB161" s="641"/>
    </row>
    <row r="162" spans="1:28" x14ac:dyDescent="0.2">
      <c r="A162" s="984"/>
      <c r="B162" s="633">
        <v>4</v>
      </c>
      <c r="C162" s="634">
        <f>IF(A156&lt;=$F$3,L136,0)</f>
        <v>0</v>
      </c>
      <c r="D162" s="598">
        <f>IF(A156&lt;=$F$3,M136,0)</f>
        <v>0</v>
      </c>
      <c r="E162" s="598">
        <f>IF(A156&lt;=$F$3,N136,0)</f>
        <v>0</v>
      </c>
      <c r="F162" s="634"/>
      <c r="G162" s="598"/>
      <c r="H162" s="677"/>
      <c r="I162" s="598"/>
      <c r="J162" s="598"/>
      <c r="K162" s="676"/>
      <c r="L162" s="634">
        <f>IF(A156&lt;=$F$3,C162+F162-I162,0)</f>
        <v>0</v>
      </c>
      <c r="M162" s="598">
        <f>IF(A156&lt;=$F$3,D162+G162-J162,0)</f>
        <v>0</v>
      </c>
      <c r="N162" s="598">
        <f>IF(A156&lt;=$F$3,E162+H162-K162,0)</f>
        <v>0</v>
      </c>
      <c r="O162" s="635">
        <f>IF(A156&lt;=$F$3,F162*Q162+G162*R162+H162*S162,0)</f>
        <v>0</v>
      </c>
      <c r="P162" s="636">
        <f>IF(A156&lt;=$F$3,I162*Q162+J162*R162+K162*S162,0)</f>
        <v>0</v>
      </c>
      <c r="Q162" s="637">
        <f t="shared" si="67"/>
        <v>233130.90909090909</v>
      </c>
      <c r="R162" s="638">
        <f t="shared" si="67"/>
        <v>318808.82618181815</v>
      </c>
      <c r="S162" s="639">
        <f t="shared" si="67"/>
        <v>336288.09890909091</v>
      </c>
      <c r="T162" s="637">
        <f>L162*$AH$6*AD$16</f>
        <v>0</v>
      </c>
      <c r="U162" s="640" t="e">
        <f>$AH$6*(1-AE$15)*((1+HLOOKUP($A$156,FC_Premissas!$D$5:$W$16,14,FALSE)^0.0833-1))*L162*12</f>
        <v>#REF!</v>
      </c>
      <c r="V162" s="638">
        <f>M162*$AP$6*AL$16</f>
        <v>0</v>
      </c>
      <c r="W162" s="669" t="e">
        <f>$AP$6*(1-AM$15)*((1+HLOOKUP($A$156,FC_Premissas!$D$5:$W$16,14,FALSE))^0.0833-1)*M162*12</f>
        <v>#REF!</v>
      </c>
      <c r="X162" s="637">
        <f>N162*$AX$6*AT$16</f>
        <v>0</v>
      </c>
      <c r="Y162" s="640" t="e">
        <f>$AX$6*(1-AU$15)*((1+HLOOKUP($A$156,FC_Premissas!$D$5:$W$16,14,FALSE))^0.0833-1)*N162*12</f>
        <v>#REF!</v>
      </c>
      <c r="Z162" s="638">
        <f t="shared" si="68"/>
        <v>0</v>
      </c>
      <c r="AA162" s="669" t="e">
        <f t="shared" si="68"/>
        <v>#REF!</v>
      </c>
      <c r="AB162" s="641"/>
    </row>
    <row r="163" spans="1:28" x14ac:dyDescent="0.2">
      <c r="A163" s="984"/>
      <c r="B163" s="633">
        <v>5</v>
      </c>
      <c r="C163" s="634">
        <f>IF(A156&lt;=$F$3,L137,0)</f>
        <v>0</v>
      </c>
      <c r="D163" s="598">
        <f>IF(A156&lt;=$F$3,M137,0)</f>
        <v>0</v>
      </c>
      <c r="E163" s="598">
        <f>IF(A156&lt;=$F$3,N137,0)</f>
        <v>0</v>
      </c>
      <c r="F163" s="634"/>
      <c r="G163" s="598"/>
      <c r="H163" s="677">
        <v>2</v>
      </c>
      <c r="I163" s="598"/>
      <c r="J163" s="598"/>
      <c r="K163" s="676"/>
      <c r="L163" s="634">
        <f>IF(A156&lt;=$F$3,C163+F163-I163,0)</f>
        <v>0</v>
      </c>
      <c r="M163" s="598">
        <f>IF(A156&lt;=$F$3,D163+G163-J163,0)</f>
        <v>0</v>
      </c>
      <c r="N163" s="598">
        <f>IF(A156&lt;=$F$3,E163+H163-K163,0)</f>
        <v>2</v>
      </c>
      <c r="O163" s="635">
        <f>IF(A156&lt;=$F$3,F163*Q163+G163*R163+H163*S163,0)</f>
        <v>528960.23272727279</v>
      </c>
      <c r="P163" s="636">
        <f>IF(A156&lt;=$F$3,I163*Q163+J163*R163+K163*S163,0)</f>
        <v>0</v>
      </c>
      <c r="Q163" s="637">
        <f t="shared" si="67"/>
        <v>181536.36363636365</v>
      </c>
      <c r="R163" s="638">
        <f t="shared" si="67"/>
        <v>250869.20727272728</v>
      </c>
      <c r="S163" s="639">
        <f t="shared" si="67"/>
        <v>264480.11636363639</v>
      </c>
      <c r="T163" s="637">
        <f>L163*$AH$6*AD$17</f>
        <v>0</v>
      </c>
      <c r="U163" s="640" t="e">
        <f>$AH$6*(1-AE$16)*((1+HLOOKUP($A$156,FC_Premissas!$D$5:$W$16,14,FALSE)^0.0833-1))*L163*12</f>
        <v>#REF!</v>
      </c>
      <c r="V163" s="638">
        <f>M163*$AP$6*AL$17</f>
        <v>0</v>
      </c>
      <c r="W163" s="669" t="e">
        <f>$AP$6*(1-AM$16)*((1+HLOOKUP($A$156,FC_Premissas!$D$5:$W$16,14,FALSE))^0.0833-1)*M163*12</f>
        <v>#REF!</v>
      </c>
      <c r="X163" s="637">
        <f>N163*$AX$6*AT$17</f>
        <v>119679.9709090909</v>
      </c>
      <c r="Y163" s="640" t="e">
        <f>$AX$6*(1-AU$16)*((1+HLOOKUP($A$156,FC_Premissas!$D$5:$W$16,14,FALSE))^0.0833-1)*N163*12</f>
        <v>#REF!</v>
      </c>
      <c r="Z163" s="638">
        <f t="shared" si="68"/>
        <v>119679.9709090909</v>
      </c>
      <c r="AA163" s="669" t="e">
        <f t="shared" si="68"/>
        <v>#REF!</v>
      </c>
      <c r="AB163" s="641"/>
    </row>
    <row r="164" spans="1:28" x14ac:dyDescent="0.2">
      <c r="A164" s="984"/>
      <c r="B164" s="633">
        <v>6</v>
      </c>
      <c r="C164" s="634">
        <f>IF(A156&lt;=$F$3,L138,0)</f>
        <v>0</v>
      </c>
      <c r="D164" s="598">
        <f>IF(A156&lt;=$F$3,M138,0)</f>
        <v>0</v>
      </c>
      <c r="E164" s="598">
        <f>IF(A156&lt;=$F$3,N138,0)</f>
        <v>1</v>
      </c>
      <c r="F164" s="634"/>
      <c r="G164" s="598"/>
      <c r="H164" s="650"/>
      <c r="I164" s="598"/>
      <c r="J164" s="598"/>
      <c r="K164" s="676"/>
      <c r="L164" s="634">
        <f>IF(A156&lt;=$F$3,C164+F164-I164,0)</f>
        <v>0</v>
      </c>
      <c r="M164" s="598">
        <f>IF(A156&lt;=$F$3,D164+G164-J164,0)</f>
        <v>0</v>
      </c>
      <c r="N164" s="598">
        <f>IF(A156&lt;=$F$3,E164+H164-K164,0)</f>
        <v>1</v>
      </c>
      <c r="O164" s="635">
        <f>IF(A156&lt;=$F$3,F164*Q164+G164*R164+H164*S164,0)</f>
        <v>0</v>
      </c>
      <c r="P164" s="636">
        <f>IF(A156&lt;=$F$3,I164*Q164+J164*R164+K164*S164,0)</f>
        <v>0</v>
      </c>
      <c r="Q164" s="637">
        <f t="shared" si="67"/>
        <v>138540.90909090912</v>
      </c>
      <c r="R164" s="638">
        <f t="shared" si="67"/>
        <v>194252.85818181818</v>
      </c>
      <c r="S164" s="639">
        <f t="shared" si="67"/>
        <v>204640.13090909092</v>
      </c>
      <c r="T164" s="637">
        <f>L164*$AH$6*AD$18</f>
        <v>0</v>
      </c>
      <c r="U164" s="640" t="e">
        <f>$AH$6*(1-AE$17)*((1+HLOOKUP($A$156,FC_Premissas!$D$5:$W$16,14,FALSE)^0.0833-1))*L164*12</f>
        <v>#REF!</v>
      </c>
      <c r="V164" s="638">
        <f>M164*$AP$6*AL$18</f>
        <v>0</v>
      </c>
      <c r="W164" s="669" t="e">
        <f>$AP$6*(1-AM$17)*((1+HLOOKUP($A$156,FC_Premissas!$D$5:$W$16,14,FALSE))^0.0833-1)*M164*12</f>
        <v>#REF!</v>
      </c>
      <c r="X164" s="637">
        <f>N164*$AX$6*AT$18</f>
        <v>47871.988363636367</v>
      </c>
      <c r="Y164" s="640" t="e">
        <f>$AX$6*(1-AU$17)*((1+HLOOKUP($A$156,FC_Premissas!$D$5:$W$16,14,FALSE))^0.0833-1)*N164*12</f>
        <v>#REF!</v>
      </c>
      <c r="Z164" s="638">
        <f t="shared" si="68"/>
        <v>47871.988363636367</v>
      </c>
      <c r="AA164" s="669" t="e">
        <f t="shared" si="68"/>
        <v>#REF!</v>
      </c>
      <c r="AB164" s="641"/>
    </row>
    <row r="165" spans="1:28" x14ac:dyDescent="0.2">
      <c r="A165" s="984"/>
      <c r="B165" s="633">
        <v>7</v>
      </c>
      <c r="C165" s="634">
        <f>IF(A156&lt;=$F$3,L139,0)</f>
        <v>0</v>
      </c>
      <c r="D165" s="598">
        <f>IF(A156&lt;=$F$3,M139,0)</f>
        <v>0</v>
      </c>
      <c r="E165" s="598">
        <f>IF(A156&lt;=$F$3,N139,0)</f>
        <v>3</v>
      </c>
      <c r="F165" s="634"/>
      <c r="G165" s="598"/>
      <c r="H165" s="650"/>
      <c r="I165" s="598"/>
      <c r="J165" s="598"/>
      <c r="K165" s="676"/>
      <c r="L165" s="634">
        <f>IF(A156&lt;=$F$3,C165+F165-I165,0)</f>
        <v>0</v>
      </c>
      <c r="M165" s="598">
        <f>IF(A156&lt;=$F$3,D165+G165-J165,0)</f>
        <v>0</v>
      </c>
      <c r="N165" s="598">
        <f>IF(A156&lt;=$F$3,E165+H165-K165,0)</f>
        <v>3</v>
      </c>
      <c r="O165" s="635">
        <f>IF(A156&lt;=$F$3,F165*Q165+G165*R165+H165*S165,0)</f>
        <v>0</v>
      </c>
      <c r="P165" s="636">
        <f>IF(A156&lt;=$F$3,I165*Q165+J165*R165+K165*S165,0)</f>
        <v>0</v>
      </c>
      <c r="Q165" s="637">
        <f t="shared" si="67"/>
        <v>104144.54545454548</v>
      </c>
      <c r="R165" s="638">
        <f t="shared" si="67"/>
        <v>148959.77890909094</v>
      </c>
      <c r="S165" s="639">
        <f t="shared" si="67"/>
        <v>156768.14254545458</v>
      </c>
      <c r="T165" s="637">
        <f>L165*$AH$6*AD$19</f>
        <v>0</v>
      </c>
      <c r="U165" s="640" t="e">
        <f>$AH$6*(1-AE$18)*((1+HLOOKUP($A$156,FC_Premissas!$D$5:$W$16,14,FALSE)^0.0833-1))*L165*12</f>
        <v>#REF!</v>
      </c>
      <c r="V165" s="638">
        <f>M165*$AP$6*AL$19</f>
        <v>0</v>
      </c>
      <c r="W165" s="669" t="e">
        <f>$AP$6*(1-AM$18)*((1+HLOOKUP($A$156,FC_Premissas!$D$5:$W$16,14,FALSE))^0.0833-1)*M165*12</f>
        <v>#REF!</v>
      </c>
      <c r="X165" s="637">
        <f>N165*$AX$6*AT$19</f>
        <v>107711.97381818182</v>
      </c>
      <c r="Y165" s="640" t="e">
        <f>$AX$6*(1-AU$18)*((1+HLOOKUP($A$156,FC_Premissas!$D$5:$W$16,14,FALSE))^0.0833-1)*N165*12</f>
        <v>#REF!</v>
      </c>
      <c r="Z165" s="638">
        <f t="shared" si="68"/>
        <v>107711.97381818182</v>
      </c>
      <c r="AA165" s="669" t="e">
        <f t="shared" si="68"/>
        <v>#REF!</v>
      </c>
      <c r="AB165" s="641"/>
    </row>
    <row r="166" spans="1:28" x14ac:dyDescent="0.2">
      <c r="A166" s="984"/>
      <c r="B166" s="633">
        <v>8</v>
      </c>
      <c r="C166" s="634">
        <f>IF(A156&lt;=$F$3,L140,0)</f>
        <v>0</v>
      </c>
      <c r="D166" s="598">
        <f>IF(A156&lt;=$F$3,M140,0)</f>
        <v>0</v>
      </c>
      <c r="E166" s="598">
        <f>IF(A156&lt;=$F$3,N140,0)</f>
        <v>0</v>
      </c>
      <c r="F166" s="634"/>
      <c r="G166" s="598"/>
      <c r="H166" s="650"/>
      <c r="I166" s="598"/>
      <c r="J166" s="598"/>
      <c r="K166" s="676"/>
      <c r="L166" s="634">
        <f>IF(A156&lt;=$F$3,C166+F166-I166,0)</f>
        <v>0</v>
      </c>
      <c r="M166" s="598">
        <f>IF(A156&lt;=$F$3,D166+G166-J166,0)</f>
        <v>0</v>
      </c>
      <c r="N166" s="598">
        <f>IF(A156&lt;=$F$3,E166+H166-K166,0)</f>
        <v>0</v>
      </c>
      <c r="O166" s="635">
        <f>IF(A156&lt;=$F$3,F166*Q166+G166*R166+H166*S166,0)</f>
        <v>0</v>
      </c>
      <c r="P166" s="636">
        <f>IF(A156&lt;=$F$3,I166*Q166+J166*R166+K166*S166,0)</f>
        <v>0</v>
      </c>
      <c r="Q166" s="637">
        <f t="shared" si="67"/>
        <v>78347.272727272764</v>
      </c>
      <c r="R166" s="638">
        <f t="shared" si="67"/>
        <v>114989.9694545455</v>
      </c>
      <c r="S166" s="639">
        <f t="shared" si="67"/>
        <v>120864.15127272732</v>
      </c>
      <c r="T166" s="637">
        <f>L166*$AH$6*AD$20</f>
        <v>0</v>
      </c>
      <c r="U166" s="640" t="e">
        <f>$AH$6*(1-AE$19)*((1+HLOOKUP($A$156,FC_Premissas!$D$5:$W$16,14,FALSE)^0.0833-1))*L166*12</f>
        <v>#REF!</v>
      </c>
      <c r="V166" s="638">
        <f>M166*$AP$6*AL$20</f>
        <v>0</v>
      </c>
      <c r="W166" s="669" t="e">
        <f>$AP$6*(1-AM$19)*((1+HLOOKUP($A$156,FC_Premissas!$D$5:$W$16,14,FALSE))^0.0833-1)*M166*12</f>
        <v>#REF!</v>
      </c>
      <c r="X166" s="637">
        <f>N166*$AX$6*AT$20</f>
        <v>0</v>
      </c>
      <c r="Y166" s="640" t="e">
        <f>$AX$6*(1-AU$19)*((1+HLOOKUP($A$156,FC_Premissas!$D$5:$W$16,14,FALSE))^0.0833-1)*N166*12</f>
        <v>#REF!</v>
      </c>
      <c r="Z166" s="638">
        <f t="shared" si="68"/>
        <v>0</v>
      </c>
      <c r="AA166" s="669" t="e">
        <f t="shared" si="68"/>
        <v>#REF!</v>
      </c>
      <c r="AB166" s="641"/>
    </row>
    <row r="167" spans="1:28" x14ac:dyDescent="0.2">
      <c r="A167" s="984"/>
      <c r="B167" s="633">
        <v>9</v>
      </c>
      <c r="C167" s="634">
        <f>IF(A156&lt;=$F$3,L141,0)</f>
        <v>0</v>
      </c>
      <c r="D167" s="598">
        <f>IF(A156&lt;=$F$3,M141,0)</f>
        <v>0</v>
      </c>
      <c r="E167" s="598">
        <f>IF(A156&lt;=$F$3,N141,0)</f>
        <v>3</v>
      </c>
      <c r="F167" s="634"/>
      <c r="G167" s="598"/>
      <c r="H167" s="650"/>
      <c r="I167" s="598"/>
      <c r="J167" s="598"/>
      <c r="K167" s="676"/>
      <c r="L167" s="634">
        <f>IF(A156&lt;=$F$3,C167+F167-I167,0)</f>
        <v>0</v>
      </c>
      <c r="M167" s="598">
        <f>IF(A156&lt;=$F$3,D167+G167-J167,0)</f>
        <v>0</v>
      </c>
      <c r="N167" s="598">
        <f>IF(A156&lt;=$F$3,E167+H167-K167,0)</f>
        <v>3</v>
      </c>
      <c r="O167" s="635">
        <f>IF(A156&lt;=$F$3,F167*Q167+G167*R167+H167*S167,0)</f>
        <v>0</v>
      </c>
      <c r="P167" s="636">
        <f>IF(A156&lt;=$F$3,I167*Q167+J167*R167+K167*S167,0)</f>
        <v>0</v>
      </c>
      <c r="Q167" s="637">
        <f t="shared" si="67"/>
        <v>61149.090909090955</v>
      </c>
      <c r="R167" s="638">
        <f t="shared" si="67"/>
        <v>92343.429818181874</v>
      </c>
      <c r="S167" s="639">
        <f t="shared" si="67"/>
        <v>96928.157090909139</v>
      </c>
      <c r="T167" s="637">
        <f>L167*$AH$6*AD$21</f>
        <v>0</v>
      </c>
      <c r="U167" s="640" t="e">
        <f>$AH$6*(1-AE$20)*((1+HLOOKUP($A$156,FC_Premissas!$D$5:$W$16,14,FALSE)^0.0833-1))*L167*12</f>
        <v>#REF!</v>
      </c>
      <c r="V167" s="638">
        <f>M167*$AP$6*AL$21</f>
        <v>0</v>
      </c>
      <c r="W167" s="669" t="e">
        <f>$AP$6*(1-AM$20)*((1+HLOOKUP($A$156,FC_Premissas!$D$5:$W$16,14,FALSE))^0.0833-1)*M167*12</f>
        <v>#REF!</v>
      </c>
      <c r="X167" s="637">
        <f>N167*$AX$6*AT$21</f>
        <v>35903.991272727275</v>
      </c>
      <c r="Y167" s="640" t="e">
        <f>$AX$6*(1-AU$20)*((1+HLOOKUP($A$156,FC_Premissas!$D$5:$W$16,14,FALSE))^0.0833-1)*N167*12</f>
        <v>#REF!</v>
      </c>
      <c r="Z167" s="638">
        <f t="shared" si="68"/>
        <v>35903.991272727275</v>
      </c>
      <c r="AA167" s="669" t="e">
        <f t="shared" si="68"/>
        <v>#REF!</v>
      </c>
      <c r="AB167" s="641"/>
    </row>
    <row r="168" spans="1:28" x14ac:dyDescent="0.2">
      <c r="A168" s="984"/>
      <c r="B168" s="633">
        <v>10</v>
      </c>
      <c r="C168" s="634">
        <f>IF(A156&lt;=$F$3,L142,0)</f>
        <v>0</v>
      </c>
      <c r="D168" s="598">
        <f>IF(A156&lt;=$F$3,M142,0)</f>
        <v>0</v>
      </c>
      <c r="E168" s="598">
        <f>IF(A156&lt;=$F$3,N142,0)</f>
        <v>0</v>
      </c>
      <c r="F168" s="634"/>
      <c r="G168" s="598"/>
      <c r="H168" s="650"/>
      <c r="I168" s="598"/>
      <c r="J168" s="598"/>
      <c r="K168" s="676"/>
      <c r="L168" s="634">
        <f>IF(A156&lt;=$F$3,C168+F168-I168,0)</f>
        <v>0</v>
      </c>
      <c r="M168" s="598">
        <f>IF(A156&lt;=$F$3,D168+G168-J168,0)</f>
        <v>0</v>
      </c>
      <c r="N168" s="598">
        <f>IF(A156&lt;=$F$3,E168+H168-K168,0)</f>
        <v>0</v>
      </c>
      <c r="O168" s="635">
        <f>IF(A156&lt;=$F$3,F168*Q168+G168*R168+H168*S168,0)</f>
        <v>0</v>
      </c>
      <c r="P168" s="636">
        <f>IF(A156&lt;=$F$3,I168*Q168+J168*R168+K168*S168,0)</f>
        <v>0</v>
      </c>
      <c r="Q168" s="637">
        <f t="shared" si="67"/>
        <v>52550.000000000044</v>
      </c>
      <c r="R168" s="638">
        <f t="shared" si="67"/>
        <v>81020.160000000062</v>
      </c>
      <c r="S168" s="639">
        <f t="shared" si="67"/>
        <v>84960.160000000062</v>
      </c>
      <c r="T168" s="637">
        <f>L168*$AH$6*AD$22</f>
        <v>0</v>
      </c>
      <c r="U168" s="640" t="e">
        <f>$AH$6*(1-AE$21)*((1+HLOOKUP($A$156,FC_Premissas!$D$5:$W$16,14,FALSE)^0.0833-1))*L168*12</f>
        <v>#REF!</v>
      </c>
      <c r="V168" s="638">
        <f>M168*$AP$6*AL$22</f>
        <v>0</v>
      </c>
      <c r="W168" s="669" t="e">
        <f>$AP$6*(1-AM$21)*((1+HLOOKUP($A$156,FC_Premissas!$D$5:$W$16,14,FALSE))^0.0833-1)*M168*12</f>
        <v>#REF!</v>
      </c>
      <c r="X168" s="637">
        <f>N168*$AX$6*AT$22</f>
        <v>0</v>
      </c>
      <c r="Y168" s="640" t="e">
        <f>$AX$6*(1-AU$21)*((1+HLOOKUP($A$156,FC_Premissas!$D$5:$W$16,14,FALSE))^0.0833-1)*N168*12</f>
        <v>#REF!</v>
      </c>
      <c r="Z168" s="638">
        <f t="shared" si="68"/>
        <v>0</v>
      </c>
      <c r="AA168" s="669" t="e">
        <f t="shared" si="68"/>
        <v>#REF!</v>
      </c>
      <c r="AB168" s="641"/>
    </row>
    <row r="169" spans="1:28" x14ac:dyDescent="0.2">
      <c r="A169" s="984"/>
      <c r="B169" s="633">
        <v>11</v>
      </c>
      <c r="C169" s="634">
        <f>IF(A156&lt;=$F$3,L143,0)</f>
        <v>0</v>
      </c>
      <c r="D169" s="598">
        <f>IF(A156&lt;=$F$3,M143,0)</f>
        <v>0</v>
      </c>
      <c r="E169" s="598">
        <f>IF(A156&lt;=$F$3,N143,0)</f>
        <v>4</v>
      </c>
      <c r="F169" s="634"/>
      <c r="G169" s="598"/>
      <c r="H169" s="650"/>
      <c r="I169" s="598"/>
      <c r="J169" s="598"/>
      <c r="K169" s="676">
        <v>2</v>
      </c>
      <c r="L169" s="634">
        <f>IF(A156&lt;=$F$3,C169+F169-I169,0)</f>
        <v>0</v>
      </c>
      <c r="M169" s="598">
        <f>IF(A156&lt;=$F$3,D169+G169-J169,0)</f>
        <v>0</v>
      </c>
      <c r="N169" s="598">
        <f>IF(A156&lt;=$F$3,E169+H169-K169,0)</f>
        <v>2</v>
      </c>
      <c r="O169" s="635">
        <f>IF(A156&lt;=$F$3,F169*Q169+G169*R169+H169*S169,0)</f>
        <v>0</v>
      </c>
      <c r="P169" s="636">
        <f>IF(A156&lt;=$F$3,I169*Q169+J169*R169+K169*S169,0)</f>
        <v>169920.32000000012</v>
      </c>
      <c r="Q169" s="637">
        <f t="shared" si="67"/>
        <v>52550.000000000044</v>
      </c>
      <c r="R169" s="638">
        <f t="shared" si="67"/>
        <v>81020.160000000062</v>
      </c>
      <c r="S169" s="639">
        <f t="shared" si="67"/>
        <v>84960.160000000062</v>
      </c>
      <c r="T169" s="637">
        <f>L169*$AH$6*AD$23</f>
        <v>0</v>
      </c>
      <c r="U169" s="640" t="e">
        <f>$AH$6*(1-AE$22)*((1+HLOOKUP($A$156,FC_Premissas!$D$5:$W$16,14,FALSE)^0.0833-1))*L169*12</f>
        <v>#REF!</v>
      </c>
      <c r="V169" s="638">
        <f>M169*$AP$6*AL$23</f>
        <v>0</v>
      </c>
      <c r="W169" s="669" t="e">
        <f>$AP$6*(1-AM$22)*((1+HLOOKUP($A$156,FC_Premissas!$D$5:$W$16,14,FALSE))^0.0833-1)*M169*12</f>
        <v>#REF!</v>
      </c>
      <c r="X169" s="637">
        <f>N169*$AX$6*AT$23</f>
        <v>0</v>
      </c>
      <c r="Y169" s="640" t="e">
        <f>$AX$6*(1-AU$22)*((1+HLOOKUP($A$156,FC_Premissas!$D$5:$W$16,14,FALSE))^0.0833-1)*N169*12</f>
        <v>#REF!</v>
      </c>
      <c r="Z169" s="638">
        <f t="shared" si="68"/>
        <v>0</v>
      </c>
      <c r="AA169" s="669" t="e">
        <f t="shared" si="68"/>
        <v>#REF!</v>
      </c>
      <c r="AB169" s="641"/>
    </row>
    <row r="170" spans="1:28" x14ac:dyDescent="0.2">
      <c r="A170" s="984"/>
      <c r="B170" s="633">
        <v>12</v>
      </c>
      <c r="C170" s="634">
        <f>IF(A156&lt;=$F$3,L144,0)</f>
        <v>0</v>
      </c>
      <c r="D170" s="598">
        <f>IF(A156&lt;=$F$3,M144,0)</f>
        <v>0</v>
      </c>
      <c r="E170" s="598">
        <f>IF(A156&lt;=$F$3,N144,0)</f>
        <v>0</v>
      </c>
      <c r="F170" s="634"/>
      <c r="G170" s="598"/>
      <c r="H170" s="650"/>
      <c r="I170" s="598"/>
      <c r="J170" s="598"/>
      <c r="K170" s="676"/>
      <c r="L170" s="634">
        <f>IF(A156&lt;=$F$3,C170+F170-I170,0)</f>
        <v>0</v>
      </c>
      <c r="M170" s="598">
        <f>IF(A156&lt;=$F$3,D170+G170-J170,0)</f>
        <v>0</v>
      </c>
      <c r="N170" s="598">
        <f>IF(A156&lt;=$F$3,E170+H170-K170,0)</f>
        <v>0</v>
      </c>
      <c r="O170" s="635">
        <f>IF(A156&lt;=$F$3,F170*Q170+G170*R170+H170*S170,0)</f>
        <v>0</v>
      </c>
      <c r="P170" s="636">
        <f>IF(A156&lt;=$F$3,I170*Q170+J170*R170+K170*S170,0)</f>
        <v>0</v>
      </c>
      <c r="Q170" s="637">
        <f t="shared" si="67"/>
        <v>52550.000000000044</v>
      </c>
      <c r="R170" s="638">
        <f t="shared" si="67"/>
        <v>81020.160000000062</v>
      </c>
      <c r="S170" s="639">
        <f t="shared" si="67"/>
        <v>84960.160000000062</v>
      </c>
      <c r="T170" s="637">
        <f>L170*$AH$6*AD$24</f>
        <v>0</v>
      </c>
      <c r="U170" s="640" t="e">
        <f>$AH$6*(1-AE$23)*((1+HLOOKUP($A$156,FC_Premissas!$D$5:$W$16,14,FALSE)^0.0833-1))*L170*12</f>
        <v>#REF!</v>
      </c>
      <c r="V170" s="638">
        <f>M170*$AP$6*AL$24</f>
        <v>0</v>
      </c>
      <c r="W170" s="669" t="e">
        <f>$AP$6*(1-AM$23)*((1+HLOOKUP($A$156,FC_Premissas!$D$5:$W$16,14,FALSE))^0.0833-1)*M170*12</f>
        <v>#REF!</v>
      </c>
      <c r="X170" s="637">
        <f>N170*$AX$6*AT$24</f>
        <v>0</v>
      </c>
      <c r="Y170" s="640" t="e">
        <f>$AX$6*(1-AU$23)*((1+HLOOKUP($A$156,FC_Premissas!$D$5:$W$16,14,FALSE))^0.0833-1)*N170*12</f>
        <v>#REF!</v>
      </c>
      <c r="Z170" s="638">
        <f t="shared" si="68"/>
        <v>0</v>
      </c>
      <c r="AA170" s="669" t="e">
        <f t="shared" si="68"/>
        <v>#REF!</v>
      </c>
      <c r="AB170" s="641"/>
    </row>
    <row r="171" spans="1:28" x14ac:dyDescent="0.2">
      <c r="A171" s="984"/>
      <c r="B171" s="633">
        <v>13</v>
      </c>
      <c r="C171" s="634">
        <f>IF(A156&lt;=$F$3,L145,0)</f>
        <v>0</v>
      </c>
      <c r="D171" s="598">
        <f>IF(A156&lt;=$F$3,M145,0)</f>
        <v>0</v>
      </c>
      <c r="E171" s="650">
        <f>IF(A156&lt;=$F$3,N145,0)</f>
        <v>0</v>
      </c>
      <c r="F171" s="634"/>
      <c r="G171" s="598"/>
      <c r="H171" s="598"/>
      <c r="I171" s="634"/>
      <c r="J171" s="598"/>
      <c r="K171" s="676"/>
      <c r="L171" s="634">
        <f>IF(A156&lt;=$F$3,C171+F171-I171,0)</f>
        <v>0</v>
      </c>
      <c r="M171" s="598">
        <f>IF(A156&lt;=$F$3,D171+G171-J171,0)</f>
        <v>0</v>
      </c>
      <c r="N171" s="598">
        <f>IF(A156&lt;=$F$3,E171+H171-K171,0)</f>
        <v>0</v>
      </c>
      <c r="O171" s="635">
        <f>IF(A156&lt;=$F$3,F171*Q171+G171*R171+H171*S171,0)</f>
        <v>0</v>
      </c>
      <c r="P171" s="636">
        <f>IF(A156&lt;=$F$3,I171*Q171+J171*R171+K171*S171,0)</f>
        <v>0</v>
      </c>
      <c r="Q171" s="637">
        <f t="shared" si="67"/>
        <v>52550.000000000044</v>
      </c>
      <c r="R171" s="638">
        <f t="shared" si="67"/>
        <v>81020.160000000062</v>
      </c>
      <c r="S171" s="639">
        <f t="shared" si="67"/>
        <v>84960.160000000062</v>
      </c>
      <c r="T171" s="637">
        <f>L171*$AH$6*AD$25</f>
        <v>0</v>
      </c>
      <c r="U171" s="640" t="e">
        <f>$AH$6*(1-AE$24)*((1+HLOOKUP($A$156,FC_Premissas!$D$5:$W$16,14,FALSE)^0.0833-1))*L171*12</f>
        <v>#REF!</v>
      </c>
      <c r="V171" s="638">
        <f>M171*$AP$6*AL$25</f>
        <v>0</v>
      </c>
      <c r="W171" s="669" t="e">
        <f>$AP$6*(1-AM$24)*((1+HLOOKUP($A$156,FC_Premissas!$D$5:$W$16,14,FALSE))^0.0833-1)*M171*12</f>
        <v>#REF!</v>
      </c>
      <c r="X171" s="637">
        <f>N171*$AX$6*AT$25</f>
        <v>0</v>
      </c>
      <c r="Y171" s="640" t="e">
        <f>$AX$6*(1-AU$24)*((1+HLOOKUP($A$156,FC_Premissas!$D$5:$W$16,14,FALSE))^0.0833-1)*N171*12</f>
        <v>#REF!</v>
      </c>
      <c r="Z171" s="638">
        <f t="shared" si="68"/>
        <v>0</v>
      </c>
      <c r="AA171" s="669" t="e">
        <f t="shared" si="68"/>
        <v>#REF!</v>
      </c>
      <c r="AB171" s="641"/>
    </row>
    <row r="172" spans="1:28" x14ac:dyDescent="0.2">
      <c r="A172" s="984"/>
      <c r="B172" s="633">
        <v>14</v>
      </c>
      <c r="C172" s="634">
        <f>IF(A156&lt;=$F$3,L146,0)</f>
        <v>0</v>
      </c>
      <c r="D172" s="598">
        <f>IF(A156&lt;=$F$3,M146,0)</f>
        <v>0</v>
      </c>
      <c r="E172" s="650">
        <f>IF(A156&lt;=$F$3,N146,0)</f>
        <v>0</v>
      </c>
      <c r="F172" s="634"/>
      <c r="G172" s="598"/>
      <c r="H172" s="598"/>
      <c r="I172" s="634"/>
      <c r="J172" s="598"/>
      <c r="K172" s="598"/>
      <c r="L172" s="634">
        <f>IF(A156&lt;=$F$3,C172+F172-I172,0)</f>
        <v>0</v>
      </c>
      <c r="M172" s="598">
        <f>IF(A156&lt;=$F$3,D172+G172-J172,0)</f>
        <v>0</v>
      </c>
      <c r="N172" s="598">
        <f>IF(A156&lt;=$F$3,E172+H172-K172,0)</f>
        <v>0</v>
      </c>
      <c r="O172" s="635">
        <f>IF(A156&lt;=$F$3,F172*Q172+G172*R172+H172*S172,0)</f>
        <v>0</v>
      </c>
      <c r="P172" s="636">
        <f>IF(A156&lt;=$F$3,I172*Q172+J172*R172+K172*S172,0)</f>
        <v>0</v>
      </c>
      <c r="Q172" s="637">
        <f t="shared" si="67"/>
        <v>52550.000000000044</v>
      </c>
      <c r="R172" s="638">
        <f t="shared" si="67"/>
        <v>81020.160000000062</v>
      </c>
      <c r="S172" s="639">
        <f t="shared" si="67"/>
        <v>84960.160000000062</v>
      </c>
      <c r="T172" s="637">
        <f>L172*$AH$6*AD$26</f>
        <v>0</v>
      </c>
      <c r="U172" s="640" t="e">
        <f>$AH$6*(1-AE$25)*((1+HLOOKUP($A$156,FC_Premissas!$D$5:$W$16,14,FALSE)^0.0833-1))*L172*12</f>
        <v>#REF!</v>
      </c>
      <c r="V172" s="638">
        <f>M172*$AP$6*AL$26</f>
        <v>0</v>
      </c>
      <c r="W172" s="669" t="e">
        <f>$AP$6*(1-AM$25)*((1+HLOOKUP($A$156,FC_Premissas!$D$5:$W$16,14,FALSE))^0.0833-1)*M172*12</f>
        <v>#REF!</v>
      </c>
      <c r="X172" s="637">
        <f>N172*$AX$6*AT$26</f>
        <v>0</v>
      </c>
      <c r="Y172" s="640" t="e">
        <f>$AX$6*(1-AU$25)*((1+HLOOKUP($A$156,FC_Premissas!$D$5:$W$16,14,FALSE))^0.0833-1)*N172*12</f>
        <v>#REF!</v>
      </c>
      <c r="Z172" s="638">
        <f t="shared" si="68"/>
        <v>0</v>
      </c>
      <c r="AA172" s="669" t="e">
        <f t="shared" si="68"/>
        <v>#REF!</v>
      </c>
      <c r="AB172" s="641"/>
    </row>
    <row r="173" spans="1:28" x14ac:dyDescent="0.2">
      <c r="A173" s="984"/>
      <c r="B173" s="633">
        <v>15</v>
      </c>
      <c r="C173" s="634">
        <f>IF(A156&lt;=$F$3,L147,0)</f>
        <v>0</v>
      </c>
      <c r="D173" s="598">
        <f>IF(A156&lt;=$F$3,M147,0)</f>
        <v>0</v>
      </c>
      <c r="E173" s="650">
        <f>IF(A156&lt;=$F$3,N147,0)</f>
        <v>0</v>
      </c>
      <c r="F173" s="634"/>
      <c r="G173" s="598"/>
      <c r="H173" s="598"/>
      <c r="I173" s="634"/>
      <c r="J173" s="598"/>
      <c r="K173" s="598"/>
      <c r="L173" s="634">
        <f>IF(A156&lt;=$F$3,C173+F173-I173,0)</f>
        <v>0</v>
      </c>
      <c r="M173" s="598">
        <f>IF(A156&lt;=$F$3,D173+G173-J173,0)</f>
        <v>0</v>
      </c>
      <c r="N173" s="598">
        <f>IF(A156&lt;=$F$3,E173+H173-K173,0)</f>
        <v>0</v>
      </c>
      <c r="O173" s="635">
        <f>IF(A156&lt;=$F$3,F173*Q173+G173*R173+H173*S173,0)</f>
        <v>0</v>
      </c>
      <c r="P173" s="636">
        <f>IF(A156&lt;=$F$3,I173*Q173+J173*R173+K173*S173,0)</f>
        <v>0</v>
      </c>
      <c r="Q173" s="637">
        <f t="shared" si="67"/>
        <v>52550.000000000044</v>
      </c>
      <c r="R173" s="638">
        <f t="shared" si="67"/>
        <v>81020.160000000062</v>
      </c>
      <c r="S173" s="639">
        <f t="shared" si="67"/>
        <v>84960.160000000062</v>
      </c>
      <c r="T173" s="637">
        <f t="shared" ref="T173:T178" si="69">L173*$AH$6*AD$27</f>
        <v>0</v>
      </c>
      <c r="U173" s="640" t="e">
        <f>$AH$6*(1-AE$26)*((1+HLOOKUP($A$156,FC_Premissas!$D$5:$W$16,14,FALSE)^0.0833-1))*L173*12</f>
        <v>#REF!</v>
      </c>
      <c r="V173" s="638">
        <f t="shared" ref="V173:V178" si="70">M173*$AP$6*AL$27</f>
        <v>0</v>
      </c>
      <c r="W173" s="669" t="e">
        <f>$AP$6*(1-AM$26)*((1+HLOOKUP($A$156,FC_Premissas!$D$5:$W$16,14,FALSE))^0.0833-1)*M173*12</f>
        <v>#REF!</v>
      </c>
      <c r="X173" s="637">
        <f t="shared" ref="X173:X178" si="71">N173*$AX$6*AT$27</f>
        <v>0</v>
      </c>
      <c r="Y173" s="640" t="e">
        <f>$AX$6*(1-AU$26)*((1+HLOOKUP($A$156,FC_Premissas!$D$5:$W$16,14,FALSE))^0.0833-1)*N173*12</f>
        <v>#REF!</v>
      </c>
      <c r="Z173" s="638">
        <f t="shared" si="68"/>
        <v>0</v>
      </c>
      <c r="AA173" s="640" t="e">
        <f t="shared" si="68"/>
        <v>#REF!</v>
      </c>
      <c r="AB173" s="641"/>
    </row>
    <row r="174" spans="1:28" x14ac:dyDescent="0.2">
      <c r="A174" s="984"/>
      <c r="B174" s="633">
        <v>16</v>
      </c>
      <c r="C174" s="634">
        <f>IF(A156&lt;=$F$3,L148,0)</f>
        <v>0</v>
      </c>
      <c r="D174" s="598">
        <f>IF(A156&lt;=$F$3,M148,0)</f>
        <v>0</v>
      </c>
      <c r="E174" s="650">
        <f>IF(A156&lt;=$F$3,N148,0)</f>
        <v>0</v>
      </c>
      <c r="F174" s="634"/>
      <c r="G174" s="598"/>
      <c r="H174" s="598"/>
      <c r="I174" s="634"/>
      <c r="J174" s="598"/>
      <c r="K174" s="598"/>
      <c r="L174" s="634">
        <f>IF(A156&lt;=$F$3,C174+F174-I174,0)</f>
        <v>0</v>
      </c>
      <c r="M174" s="598">
        <f>IF(A156&lt;=$F$3,D174+G174-J174,0)</f>
        <v>0</v>
      </c>
      <c r="N174" s="598">
        <f>IF(A156&lt;=$F$3,E174+H174-K174,0)</f>
        <v>0</v>
      </c>
      <c r="O174" s="635">
        <f>IF(A156&lt;=$F$3,F174*Q174+G174*R174+H174*S174,0)</f>
        <v>0</v>
      </c>
      <c r="P174" s="636">
        <f>IF(A156&lt;=$F$3,I174*Q174+J174*R174+K174*S174,0)</f>
        <v>0</v>
      </c>
      <c r="Q174" s="637">
        <f t="shared" ref="Q174:S178" si="72">Q149</f>
        <v>52550.000000000044</v>
      </c>
      <c r="R174" s="638">
        <f t="shared" si="72"/>
        <v>81020.160000000062</v>
      </c>
      <c r="S174" s="639">
        <f t="shared" si="72"/>
        <v>84960.160000000062</v>
      </c>
      <c r="T174" s="637">
        <f t="shared" si="69"/>
        <v>0</v>
      </c>
      <c r="U174" s="640" t="e">
        <f>$AH$6*(1-AE$27)*((1+HLOOKUP($A$156,FC_Premissas!$D$5:$W$16,14,FALSE)^0.0833-1))*L174*12</f>
        <v>#REF!</v>
      </c>
      <c r="V174" s="638">
        <f t="shared" si="70"/>
        <v>0</v>
      </c>
      <c r="W174" s="669" t="e">
        <f>$AP$6*(1-AM$27)*((1+HLOOKUP($A$156,FC_Premissas!$D$5:$W$16,14,FALSE))^0.0833-1)*M174*12</f>
        <v>#REF!</v>
      </c>
      <c r="X174" s="637">
        <f t="shared" si="71"/>
        <v>0</v>
      </c>
      <c r="Y174" s="640" t="e">
        <f>$AX$6*(1-AU$27)*((1+HLOOKUP($A$156,FC_Premissas!$D$5:$W$16,14,FALSE))^0.0833-1)*N174*12</f>
        <v>#REF!</v>
      </c>
      <c r="Z174" s="638">
        <f t="shared" si="68"/>
        <v>0</v>
      </c>
      <c r="AA174" s="640" t="e">
        <f t="shared" si="68"/>
        <v>#REF!</v>
      </c>
      <c r="AB174" s="641"/>
    </row>
    <row r="175" spans="1:28" x14ac:dyDescent="0.2">
      <c r="A175" s="984"/>
      <c r="B175" s="633">
        <v>17</v>
      </c>
      <c r="C175" s="634">
        <f>IF(A156&lt;=$F$3,L149,0)</f>
        <v>0</v>
      </c>
      <c r="D175" s="598">
        <f>IF(A156&lt;=$F$3,M149,0)</f>
        <v>0</v>
      </c>
      <c r="E175" s="650">
        <f>IF(A156&lt;=$F$3,N149,0)</f>
        <v>0</v>
      </c>
      <c r="F175" s="634"/>
      <c r="G175" s="598"/>
      <c r="H175" s="598"/>
      <c r="I175" s="634"/>
      <c r="J175" s="598"/>
      <c r="K175" s="598"/>
      <c r="L175" s="634">
        <f>IF(A156&lt;=$F$3,C175+F175-I175,0)</f>
        <v>0</v>
      </c>
      <c r="M175" s="598">
        <f>IF(A156&lt;=$F$3,D175+G175-J175,0)</f>
        <v>0</v>
      </c>
      <c r="N175" s="598">
        <f>IF(A156&lt;=$F$3,E175+H175-K175,0)</f>
        <v>0</v>
      </c>
      <c r="O175" s="635">
        <f>IF(A156&lt;=$F$3,F175*Q175+G175*R175+H175*S175,0)</f>
        <v>0</v>
      </c>
      <c r="P175" s="636">
        <f>IF(A156&lt;=$F$3,I175*Q175+J175*R175+K175*S175,0)</f>
        <v>0</v>
      </c>
      <c r="Q175" s="637">
        <f t="shared" si="72"/>
        <v>52550.000000000044</v>
      </c>
      <c r="R175" s="638">
        <f t="shared" si="72"/>
        <v>81020.160000000062</v>
      </c>
      <c r="S175" s="639">
        <f t="shared" si="72"/>
        <v>84960.160000000062</v>
      </c>
      <c r="T175" s="637">
        <f t="shared" si="69"/>
        <v>0</v>
      </c>
      <c r="U175" s="640" t="e">
        <f>$AH$6*(1-AE$28)*((1+HLOOKUP($A$156,FC_Premissas!$D$5:$W$16,14,FALSE)^0.0833-1))*L175*12</f>
        <v>#REF!</v>
      </c>
      <c r="V175" s="638">
        <f t="shared" si="70"/>
        <v>0</v>
      </c>
      <c r="W175" s="669" t="e">
        <f>$AP$6*(1-AM$28)*((1+HLOOKUP($A$156,FC_Premissas!$D$5:$W$16,14,FALSE))^0.0833-1)*M175*12</f>
        <v>#REF!</v>
      </c>
      <c r="X175" s="637">
        <f t="shared" si="71"/>
        <v>0</v>
      </c>
      <c r="Y175" s="640" t="e">
        <f>$AX$6*(1-AU$28)*((1+HLOOKUP($A$156,FC_Premissas!$D$5:$W$16,14,FALSE))^0.0833-1)*N175*12</f>
        <v>#REF!</v>
      </c>
      <c r="Z175" s="638">
        <f t="shared" si="68"/>
        <v>0</v>
      </c>
      <c r="AA175" s="640" t="e">
        <f t="shared" si="68"/>
        <v>#REF!</v>
      </c>
      <c r="AB175" s="641"/>
    </row>
    <row r="176" spans="1:28" x14ac:dyDescent="0.2">
      <c r="A176" s="984"/>
      <c r="B176" s="633">
        <v>18</v>
      </c>
      <c r="C176" s="634">
        <f>IF(A156&lt;=$F$3,L150,0)</f>
        <v>0</v>
      </c>
      <c r="D176" s="598">
        <f>IF(A156&lt;=$F$3,M150,0)</f>
        <v>0</v>
      </c>
      <c r="E176" s="650">
        <f>IF(A156&lt;=$F$3,N150,0)</f>
        <v>0</v>
      </c>
      <c r="F176" s="634"/>
      <c r="G176" s="598"/>
      <c r="H176" s="598"/>
      <c r="I176" s="634"/>
      <c r="J176" s="598"/>
      <c r="K176" s="598"/>
      <c r="L176" s="634">
        <f>IF(A156&lt;=$F$3,C176+F176-I176,0)</f>
        <v>0</v>
      </c>
      <c r="M176" s="598">
        <f>IF(A156&lt;=$F$3,D176+G176-J176,0)</f>
        <v>0</v>
      </c>
      <c r="N176" s="598">
        <f>IF(A156&lt;=$F$3,E176+H176-K176,0)</f>
        <v>0</v>
      </c>
      <c r="O176" s="635">
        <f>IF(A156&lt;=$F$3,F176*Q176+G176*R176+H176*S176,0)</f>
        <v>0</v>
      </c>
      <c r="P176" s="636">
        <f>IF(A156&lt;=$F$3,I176*Q176+J176*R176+K176*S176,0)</f>
        <v>0</v>
      </c>
      <c r="Q176" s="637">
        <f t="shared" si="72"/>
        <v>52550.000000000044</v>
      </c>
      <c r="R176" s="638">
        <f t="shared" si="72"/>
        <v>81020.160000000062</v>
      </c>
      <c r="S176" s="639">
        <f t="shared" si="72"/>
        <v>84960.160000000062</v>
      </c>
      <c r="T176" s="637">
        <f t="shared" si="69"/>
        <v>0</v>
      </c>
      <c r="U176" s="640" t="e">
        <f>$AH$6*(1-AE$29)*((1+HLOOKUP($A$156,FC_Premissas!$D$5:$W$16,14,FALSE)^0.0833-1))*L176*12</f>
        <v>#REF!</v>
      </c>
      <c r="V176" s="638">
        <f t="shared" si="70"/>
        <v>0</v>
      </c>
      <c r="W176" s="669" t="e">
        <f>$AP$6*(1-AM$29)*((1+HLOOKUP($A$156,FC_Premissas!$D$5:$W$16,14,FALSE))^0.0833-1)*M176*12</f>
        <v>#REF!</v>
      </c>
      <c r="X176" s="637">
        <f t="shared" si="71"/>
        <v>0</v>
      </c>
      <c r="Y176" s="640" t="e">
        <f>$AX$6*(1-AU$29)*((1+HLOOKUP($A$156,FC_Premissas!$D$5:$W$16,14,FALSE))^0.0833-1)*N176*12</f>
        <v>#REF!</v>
      </c>
      <c r="Z176" s="638">
        <f t="shared" si="68"/>
        <v>0</v>
      </c>
      <c r="AA176" s="640" t="e">
        <f t="shared" si="68"/>
        <v>#REF!</v>
      </c>
      <c r="AB176" s="641"/>
    </row>
    <row r="177" spans="1:28" x14ac:dyDescent="0.2">
      <c r="A177" s="984"/>
      <c r="B177" s="633">
        <v>19</v>
      </c>
      <c r="C177" s="634">
        <f>IF(A156&lt;=$F$3,L151,0)</f>
        <v>0</v>
      </c>
      <c r="D177" s="598">
        <f>IF(A156&lt;=$F$3,M151,0)</f>
        <v>0</v>
      </c>
      <c r="E177" s="650">
        <f>IF(A156&lt;=$F$3,N151,0)</f>
        <v>0</v>
      </c>
      <c r="F177" s="634"/>
      <c r="G177" s="598"/>
      <c r="H177" s="598"/>
      <c r="I177" s="634"/>
      <c r="J177" s="598"/>
      <c r="K177" s="598"/>
      <c r="L177" s="634">
        <f>IF(A156&lt;=$F$3,C177+F177-I177,0)</f>
        <v>0</v>
      </c>
      <c r="M177" s="598">
        <f>IF(A156&lt;=$F$3,D177+G177-J177,0)</f>
        <v>0</v>
      </c>
      <c r="N177" s="598">
        <f>IF(A156&lt;=$F$3,E177+H177-K177,0)</f>
        <v>0</v>
      </c>
      <c r="O177" s="635">
        <f>IF(A156&lt;=$F$3,F177*Q177+G177*R177+H177*S177,0)</f>
        <v>0</v>
      </c>
      <c r="P177" s="636">
        <f>IF(A156&lt;=$F$3,I177*Q177+J177*R177+K177*S177,0)</f>
        <v>0</v>
      </c>
      <c r="Q177" s="637">
        <f t="shared" si="72"/>
        <v>52550.000000000044</v>
      </c>
      <c r="R177" s="638">
        <f t="shared" si="72"/>
        <v>81020.160000000062</v>
      </c>
      <c r="S177" s="639">
        <f t="shared" si="72"/>
        <v>84960.160000000062</v>
      </c>
      <c r="T177" s="637">
        <f t="shared" si="69"/>
        <v>0</v>
      </c>
      <c r="U177" s="640" t="e">
        <f>$AH$6*(1-AE$30)*((1+HLOOKUP($A$156,FC_Premissas!$D$5:$W$16,14,FALSE)^0.0833-1))*L177*12</f>
        <v>#REF!</v>
      </c>
      <c r="V177" s="638">
        <f t="shared" si="70"/>
        <v>0</v>
      </c>
      <c r="W177" s="669" t="e">
        <f>$AP$6*(1-AM$30)*((1+HLOOKUP($A$156,FC_Premissas!$D$5:$W$16,14,FALSE))^0.0833-1)*M177*12</f>
        <v>#REF!</v>
      </c>
      <c r="X177" s="637">
        <f t="shared" si="71"/>
        <v>0</v>
      </c>
      <c r="Y177" s="640" t="e">
        <f>$AX$6*(1-AU$30)*((1+HLOOKUP($A$156,FC_Premissas!$D$5:$W$16,14,FALSE))^0.0833-1)*N177*12</f>
        <v>#REF!</v>
      </c>
      <c r="Z177" s="638">
        <f t="shared" si="68"/>
        <v>0</v>
      </c>
      <c r="AA177" s="640" t="e">
        <f t="shared" si="68"/>
        <v>#REF!</v>
      </c>
      <c r="AB177" s="641"/>
    </row>
    <row r="178" spans="1:28" x14ac:dyDescent="0.2">
      <c r="A178" s="984"/>
      <c r="B178" s="633">
        <v>20</v>
      </c>
      <c r="C178" s="616">
        <f>IF(A156&lt;=$F$3,L152,0)</f>
        <v>0</v>
      </c>
      <c r="D178" s="617">
        <f>IF(A156&lt;=$F$3,M152,0)</f>
        <v>0</v>
      </c>
      <c r="E178" s="650">
        <f>IF(A156&lt;=$F$3,N152,0)</f>
        <v>0</v>
      </c>
      <c r="F178" s="616"/>
      <c r="G178" s="617"/>
      <c r="H178" s="598"/>
      <c r="I178" s="616"/>
      <c r="J178" s="617"/>
      <c r="K178" s="598"/>
      <c r="L178" s="616">
        <f>IF(A156&lt;=$F$3,C178+F178-I178,0)</f>
        <v>0</v>
      </c>
      <c r="M178" s="617">
        <f>IF(A156&lt;=$F$3,D178+G178-J178,0)</f>
        <v>0</v>
      </c>
      <c r="N178" s="598">
        <f>IF(A156&lt;=$F$3,E178+H178-K178,0)</f>
        <v>0</v>
      </c>
      <c r="O178" s="635">
        <f>IF(A156&lt;=$F$3,F178*Q178+G178*R178+H178*S178,0)</f>
        <v>0</v>
      </c>
      <c r="P178" s="636">
        <f>IF(A156&lt;=$F$3,I178*Q178+J178*R178+K178*S178,0)</f>
        <v>0</v>
      </c>
      <c r="Q178" s="651">
        <f t="shared" si="72"/>
        <v>52550.000000000044</v>
      </c>
      <c r="R178" s="652">
        <f t="shared" si="72"/>
        <v>81020.160000000062</v>
      </c>
      <c r="S178" s="653">
        <f t="shared" si="72"/>
        <v>84960.160000000062</v>
      </c>
      <c r="T178" s="651">
        <f t="shared" si="69"/>
        <v>0</v>
      </c>
      <c r="U178" s="654" t="e">
        <f>$AH$6*(1-AE$31)*((1+HLOOKUP($A$156,FC_Premissas!$D$5:$W$16,14,FALSE)^0.0833-1))*L178*12</f>
        <v>#REF!</v>
      </c>
      <c r="V178" s="652">
        <f t="shared" si="70"/>
        <v>0</v>
      </c>
      <c r="W178" s="678" t="e">
        <f>$AP$6*(1-AM$31)*((1+HLOOKUP($A$156,FC_Premissas!$D$5:$W$16,14,FALSE))^0.0833-1)*M178*12</f>
        <v>#REF!</v>
      </c>
      <c r="X178" s="651">
        <f t="shared" si="71"/>
        <v>0</v>
      </c>
      <c r="Y178" s="654" t="e">
        <f>$AX$6*(1-AU$31)*((1+HLOOKUP($A$156,FC_Premissas!$D$5:$W$16,14,FALSE))^0.0833-1)*N178*12</f>
        <v>#REF!</v>
      </c>
      <c r="Z178" s="652">
        <f t="shared" si="68"/>
        <v>0</v>
      </c>
      <c r="AA178" s="654" t="e">
        <f t="shared" si="68"/>
        <v>#REF!</v>
      </c>
      <c r="AB178" s="641"/>
    </row>
    <row r="179" spans="1:28" x14ac:dyDescent="0.2">
      <c r="A179" s="984"/>
      <c r="B179" s="655" t="s">
        <v>1228</v>
      </c>
      <c r="C179" s="656">
        <f t="shared" ref="C179:P179" si="73">SUM(C158:C178)</f>
        <v>0</v>
      </c>
      <c r="D179" s="657">
        <f t="shared" si="73"/>
        <v>0</v>
      </c>
      <c r="E179" s="658">
        <f t="shared" si="73"/>
        <v>11</v>
      </c>
      <c r="F179" s="656">
        <f t="shared" si="73"/>
        <v>0</v>
      </c>
      <c r="G179" s="657">
        <f t="shared" si="73"/>
        <v>0</v>
      </c>
      <c r="H179" s="658">
        <f t="shared" si="73"/>
        <v>2</v>
      </c>
      <c r="I179" s="656">
        <f t="shared" si="73"/>
        <v>0</v>
      </c>
      <c r="J179" s="657">
        <f t="shared" si="73"/>
        <v>0</v>
      </c>
      <c r="K179" s="658">
        <f t="shared" si="73"/>
        <v>2</v>
      </c>
      <c r="L179" s="656">
        <f t="shared" si="73"/>
        <v>0</v>
      </c>
      <c r="M179" s="657">
        <f t="shared" si="73"/>
        <v>0</v>
      </c>
      <c r="N179" s="657">
        <f t="shared" si="73"/>
        <v>11</v>
      </c>
      <c r="O179" s="659">
        <f t="shared" si="73"/>
        <v>528960.23272727279</v>
      </c>
      <c r="P179" s="660">
        <f t="shared" si="73"/>
        <v>169920.32000000012</v>
      </c>
      <c r="Q179" s="638"/>
      <c r="R179" s="638"/>
      <c r="S179" s="638"/>
      <c r="T179" s="661">
        <f t="shared" ref="T179:AA179" si="74">SUM(T158:T178)</f>
        <v>0</v>
      </c>
      <c r="U179" s="662" t="e">
        <f t="shared" si="74"/>
        <v>#REF!</v>
      </c>
      <c r="V179" s="663">
        <f t="shared" si="74"/>
        <v>0</v>
      </c>
      <c r="W179" s="662" t="e">
        <f t="shared" si="74"/>
        <v>#REF!</v>
      </c>
      <c r="X179" s="663">
        <f t="shared" si="74"/>
        <v>311167.92436363635</v>
      </c>
      <c r="Y179" s="662" t="e">
        <f t="shared" si="74"/>
        <v>#REF!</v>
      </c>
      <c r="Z179" s="663">
        <f t="shared" si="74"/>
        <v>311167.92436363635</v>
      </c>
      <c r="AA179" s="664" t="e">
        <f t="shared" si="74"/>
        <v>#REF!</v>
      </c>
      <c r="AB179" s="641"/>
    </row>
    <row r="180" spans="1:28" x14ac:dyDescent="0.2">
      <c r="A180" s="985"/>
      <c r="B180" s="977" t="s">
        <v>1229</v>
      </c>
      <c r="C180" s="977"/>
      <c r="D180" s="977"/>
      <c r="E180" s="666">
        <f>(L180*L179+M180*M179+N180*N179)/(L179+M179+N179)</f>
        <v>8</v>
      </c>
      <c r="F180" s="665" t="s">
        <v>140</v>
      </c>
      <c r="G180" s="665"/>
      <c r="H180" s="665"/>
      <c r="I180" s="665"/>
      <c r="J180" s="665"/>
      <c r="K180" s="665"/>
      <c r="L180" s="887">
        <f>IF(L179=0,0,(SUMPRODUCT(L158:L178,$B158:$B178)/L179))</f>
        <v>0</v>
      </c>
      <c r="M180" s="887">
        <f>IF(M179=0,0,(SUMPRODUCT(M158:M178,$B158:$B178)/M179))</f>
        <v>0</v>
      </c>
      <c r="N180" s="887">
        <f>IF(N179=0,0,ROUND(SUMPRODUCT(N158:N178,$B158:$B178)/N179,0))</f>
        <v>8</v>
      </c>
      <c r="O180" s="667"/>
      <c r="P180" s="668"/>
      <c r="Q180" s="638"/>
      <c r="R180" s="638"/>
      <c r="S180" s="638"/>
      <c r="T180" s="638"/>
      <c r="U180" s="669"/>
      <c r="V180" s="638"/>
      <c r="W180" s="669"/>
      <c r="X180" s="638"/>
      <c r="Y180" s="669"/>
      <c r="Z180" s="638"/>
      <c r="AA180" s="669"/>
    </row>
    <row r="181" spans="1:28" ht="12.75" customHeight="1" x14ac:dyDescent="0.2">
      <c r="A181" s="983">
        <f>A156+1</f>
        <v>8</v>
      </c>
      <c r="B181" s="986" t="s">
        <v>1077</v>
      </c>
      <c r="C181" s="988" t="s">
        <v>1202</v>
      </c>
      <c r="D181" s="989"/>
      <c r="E181" s="990"/>
      <c r="F181" s="991" t="s">
        <v>1203</v>
      </c>
      <c r="G181" s="992"/>
      <c r="H181" s="993"/>
      <c r="I181" s="991" t="s">
        <v>1204</v>
      </c>
      <c r="J181" s="992"/>
      <c r="K181" s="993"/>
      <c r="L181" s="991" t="s">
        <v>1205</v>
      </c>
      <c r="M181" s="992"/>
      <c r="N181" s="992"/>
      <c r="O181" s="978" t="s">
        <v>1206</v>
      </c>
      <c r="P181" s="979"/>
      <c r="Q181" s="980" t="s">
        <v>1207</v>
      </c>
      <c r="R181" s="981"/>
      <c r="S181" s="982"/>
      <c r="T181" s="607" t="s">
        <v>1208</v>
      </c>
      <c r="U181" s="609" t="s">
        <v>1209</v>
      </c>
      <c r="V181" s="608" t="s">
        <v>1210</v>
      </c>
      <c r="W181" s="610" t="s">
        <v>1211</v>
      </c>
      <c r="X181" s="607" t="s">
        <v>1210</v>
      </c>
      <c r="Y181" s="609" t="s">
        <v>1211</v>
      </c>
      <c r="Z181" s="607" t="s">
        <v>1210</v>
      </c>
      <c r="AA181" s="609" t="s">
        <v>1211</v>
      </c>
    </row>
    <row r="182" spans="1:28" x14ac:dyDescent="0.2">
      <c r="A182" s="984"/>
      <c r="B182" s="987"/>
      <c r="C182" s="616" t="str">
        <f>$C$7</f>
        <v>Mini</v>
      </c>
      <c r="D182" s="617" t="str">
        <f>$D$7</f>
        <v>Midi</v>
      </c>
      <c r="E182" s="617" t="str">
        <f>$E$7</f>
        <v>Básico</v>
      </c>
      <c r="F182" s="616" t="str">
        <f>$C$7</f>
        <v>Mini</v>
      </c>
      <c r="G182" s="617" t="str">
        <f>$D$7</f>
        <v>Midi</v>
      </c>
      <c r="H182" s="617" t="str">
        <f>$E$7</f>
        <v>Básico</v>
      </c>
      <c r="I182" s="616" t="str">
        <f>$C$7</f>
        <v>Mini</v>
      </c>
      <c r="J182" s="617" t="str">
        <f>$D$7</f>
        <v>Midi</v>
      </c>
      <c r="K182" s="617" t="str">
        <f>$E$7</f>
        <v>Básico</v>
      </c>
      <c r="L182" s="616" t="str">
        <f>$C$7</f>
        <v>Mini</v>
      </c>
      <c r="M182" s="617" t="str">
        <f>$D$7</f>
        <v>Midi</v>
      </c>
      <c r="N182" s="617" t="str">
        <f>$E$7</f>
        <v>Básico</v>
      </c>
      <c r="O182" s="667" t="s">
        <v>1203</v>
      </c>
      <c r="P182" s="668" t="s">
        <v>1204</v>
      </c>
      <c r="Q182" s="620" t="str">
        <f>C182</f>
        <v>Mini</v>
      </c>
      <c r="R182" s="621" t="str">
        <f>D182</f>
        <v>Midi</v>
      </c>
      <c r="S182" s="622" t="str">
        <f>E182</f>
        <v>Básico</v>
      </c>
      <c r="T182" s="623" t="str">
        <f>C182</f>
        <v>Mini</v>
      </c>
      <c r="U182" s="624" t="str">
        <f>C182</f>
        <v>Mini</v>
      </c>
      <c r="V182" s="625" t="str">
        <f>D182</f>
        <v>Midi</v>
      </c>
      <c r="W182" s="626" t="str">
        <f>D182</f>
        <v>Midi</v>
      </c>
      <c r="X182" s="623" t="str">
        <f>E182</f>
        <v>Básico</v>
      </c>
      <c r="Y182" s="624" t="str">
        <f>E182</f>
        <v>Básico</v>
      </c>
      <c r="Z182" s="627" t="s">
        <v>1218</v>
      </c>
      <c r="AA182" s="628" t="s">
        <v>1218</v>
      </c>
    </row>
    <row r="183" spans="1:28" x14ac:dyDescent="0.2">
      <c r="A183" s="984"/>
      <c r="B183" s="633">
        <v>0</v>
      </c>
      <c r="C183" s="634">
        <v>0</v>
      </c>
      <c r="F183" s="965"/>
      <c r="G183" s="966"/>
      <c r="H183" s="675"/>
      <c r="I183" s="598"/>
      <c r="J183" s="598"/>
      <c r="K183" s="676"/>
      <c r="L183" s="634">
        <f>IF(A181&lt;=$F$3,C183+F183-I183,0)</f>
        <v>0</v>
      </c>
      <c r="M183" s="598">
        <f>IF(A181&lt;=$F$3,D183+G183-J183,0)</f>
        <v>0</v>
      </c>
      <c r="N183" s="598">
        <f>IF(A181&lt;=$F$3,E183+H183-K183,0)</f>
        <v>0</v>
      </c>
      <c r="O183" s="635">
        <f>IF(A181&lt;=$F$3,F183*Q183+G183*R183+H183*S183,0)</f>
        <v>0</v>
      </c>
      <c r="P183" s="636">
        <f>IF(A181&lt;=$F$3,I183*Q183+J183*R183+K183*S183,0)</f>
        <v>0</v>
      </c>
      <c r="Q183" s="637">
        <f t="shared" ref="Q183:S198" si="75">Q158</f>
        <v>525500</v>
      </c>
      <c r="R183" s="638">
        <f t="shared" si="75"/>
        <v>703800</v>
      </c>
      <c r="S183" s="639">
        <f t="shared" si="75"/>
        <v>743200</v>
      </c>
      <c r="T183" s="637">
        <f>L183*$AH$6*AD$12</f>
        <v>0</v>
      </c>
      <c r="U183" s="640" t="e">
        <f>$AH$6*(1-AE$11)*((1+HLOOKUP($A$181,FC_Premissas!$D$5:$W$16,14,FALSE)^0.0833-1))*L183*12</f>
        <v>#REF!</v>
      </c>
      <c r="V183" s="638">
        <f>M183*$AP$6*AL$12</f>
        <v>0</v>
      </c>
      <c r="W183" s="669" t="e">
        <f>$AP$6*(1-AM$11)*((1+HLOOKUP($A$181,FC_Premissas!$D$5:$W$16,14,FALSE)^0.0833-1))*M183*12</f>
        <v>#REF!</v>
      </c>
      <c r="X183" s="637">
        <f>N183*$AX$6*AT$12</f>
        <v>0</v>
      </c>
      <c r="Y183" s="640" t="e">
        <f>$AX$6*(1-AU$11)*((1+HLOOKUP($A$181,FC_Premissas!$D$5:$W$16,14,FALSE)^0.0833-1))*N183*12</f>
        <v>#REF!</v>
      </c>
      <c r="Z183" s="638">
        <f t="shared" ref="Z183:AA203" si="76">T183+V183+X183</f>
        <v>0</v>
      </c>
      <c r="AA183" s="669" t="e">
        <f t="shared" si="76"/>
        <v>#REF!</v>
      </c>
      <c r="AB183" s="641"/>
    </row>
    <row r="184" spans="1:28" x14ac:dyDescent="0.2">
      <c r="A184" s="984"/>
      <c r="B184" s="633">
        <v>1</v>
      </c>
      <c r="C184" s="634">
        <f>IF(A181&lt;=$F$3,L158,0)</f>
        <v>0</v>
      </c>
      <c r="D184" s="598">
        <f>IF(A181&lt;=$F$3,M158,0)</f>
        <v>0</v>
      </c>
      <c r="E184" s="598">
        <f>IF(A181&lt;=$F$3,N158,0)</f>
        <v>0</v>
      </c>
      <c r="F184" s="634"/>
      <c r="G184" s="598"/>
      <c r="H184" s="677"/>
      <c r="I184" s="598"/>
      <c r="J184" s="598"/>
      <c r="K184" s="676"/>
      <c r="L184" s="634">
        <f>IF(A181&lt;=$F$3,C184+F184-I184,0)</f>
        <v>0</v>
      </c>
      <c r="M184" s="598">
        <f>IF(A181&lt;=$F$3,D184+G184-J184,0)</f>
        <v>0</v>
      </c>
      <c r="N184" s="598">
        <f>IF(A181&lt;=$F$3,E184+H184-K184,0)</f>
        <v>0</v>
      </c>
      <c r="O184" s="635">
        <f>IF(A181&lt;=$F$3,F184*Q184+G184*R184+H184*S184,0)</f>
        <v>0</v>
      </c>
      <c r="P184" s="636">
        <f>IF(A181&lt;=$F$3,I184*Q184+J184*R184+K184*S184,0)</f>
        <v>0</v>
      </c>
      <c r="Q184" s="637">
        <f t="shared" si="75"/>
        <v>439509.09090909094</v>
      </c>
      <c r="R184" s="638">
        <f t="shared" si="75"/>
        <v>590567.30181818188</v>
      </c>
      <c r="S184" s="639">
        <f t="shared" si="75"/>
        <v>623520.02909090917</v>
      </c>
      <c r="T184" s="637">
        <f>L184*$AH$6*AD$13</f>
        <v>0</v>
      </c>
      <c r="U184" s="640" t="e">
        <f>$AH$6*(1-AE$12)*((1+HLOOKUP($A$181,FC_Premissas!$D$5:$W$16,14,FALSE)^0.0833-1))*L184*12</f>
        <v>#REF!</v>
      </c>
      <c r="V184" s="638">
        <f>M184*$AP$6*AL$13</f>
        <v>0</v>
      </c>
      <c r="W184" s="669" t="e">
        <f>$AP$6*(1-AM$12)*((1+HLOOKUP($A$181,FC_Premissas!$D$5:$W$16,14,FALSE))^0.0833-1)*M184*12</f>
        <v>#REF!</v>
      </c>
      <c r="X184" s="637">
        <f>N184*$AX$6*AT$13</f>
        <v>0</v>
      </c>
      <c r="Y184" s="640" t="e">
        <f>$AX$6*(1-AU$12)*((1+HLOOKUP($A$181,FC_Premissas!$D$5:$W$16,14,FALSE))^0.0833-1)*N184*12</f>
        <v>#REF!</v>
      </c>
      <c r="Z184" s="638">
        <f t="shared" si="76"/>
        <v>0</v>
      </c>
      <c r="AA184" s="669" t="e">
        <f t="shared" si="76"/>
        <v>#REF!</v>
      </c>
      <c r="AB184" s="641"/>
    </row>
    <row r="185" spans="1:28" x14ac:dyDescent="0.2">
      <c r="A185" s="984"/>
      <c r="B185" s="633">
        <v>2</v>
      </c>
      <c r="C185" s="634">
        <f>IF(A181&lt;=$F$3,L159,0)</f>
        <v>0</v>
      </c>
      <c r="D185" s="598">
        <f>IF(A181&lt;=$F$3,M159,0)</f>
        <v>0</v>
      </c>
      <c r="E185" s="598">
        <f>IF(A181&lt;=$F$3,N159,0)</f>
        <v>0</v>
      </c>
      <c r="F185" s="634"/>
      <c r="G185" s="598"/>
      <c r="H185" s="677"/>
      <c r="I185" s="598"/>
      <c r="J185" s="598"/>
      <c r="K185" s="676"/>
      <c r="L185" s="634">
        <f>IF(A181&lt;=$F$3,C185+F185-I185,0)</f>
        <v>0</v>
      </c>
      <c r="M185" s="598">
        <f>IF(A181&lt;=$F$3,D185+G185-J185,0)</f>
        <v>0</v>
      </c>
      <c r="N185" s="598">
        <f>IF(A181&lt;=$F$3,E185+H185-K185,0)</f>
        <v>0</v>
      </c>
      <c r="O185" s="635">
        <f>IF(A181&lt;=$F$3,F185*Q185+G185*R185+H185*S185,0)</f>
        <v>0</v>
      </c>
      <c r="P185" s="636">
        <f>IF(A181&lt;=$F$3,I185*Q185+J185*R185+K185*S185,0)</f>
        <v>0</v>
      </c>
      <c r="Q185" s="637">
        <f t="shared" si="75"/>
        <v>362117.27272727271</v>
      </c>
      <c r="R185" s="638">
        <f t="shared" si="75"/>
        <v>488657.87345454545</v>
      </c>
      <c r="S185" s="639">
        <f t="shared" si="75"/>
        <v>515808.05527272727</v>
      </c>
      <c r="T185" s="637">
        <f>L185*$AH$6*AD$14</f>
        <v>0</v>
      </c>
      <c r="U185" s="640" t="e">
        <f>$AH$6*(1-AE$13)*((1+HLOOKUP($A$181,FC_Premissas!$D$5:$W$16,14,FALSE)^0.0833-1))*L185*12</f>
        <v>#REF!</v>
      </c>
      <c r="V185" s="638">
        <f>M185*$AP$6*AL$14</f>
        <v>0</v>
      </c>
      <c r="W185" s="669" t="e">
        <f>$AP$6*(1-AM$13)*((1+HLOOKUP($A$181,FC_Premissas!$D$5:$W$16,14,FALSE))^0.0833-1)*M185*12</f>
        <v>#REF!</v>
      </c>
      <c r="X185" s="637">
        <f>N185*$AX$6*AT$14</f>
        <v>0</v>
      </c>
      <c r="Y185" s="640" t="e">
        <f>$AX$6*(1-AU$13)*((1+HLOOKUP($A$181,FC_Premissas!$D$5:$W$16,14,FALSE))^0.0833-1)*N185*12</f>
        <v>#REF!</v>
      </c>
      <c r="Z185" s="638">
        <f t="shared" si="76"/>
        <v>0</v>
      </c>
      <c r="AA185" s="669" t="e">
        <f t="shared" si="76"/>
        <v>#REF!</v>
      </c>
      <c r="AB185" s="641"/>
    </row>
    <row r="186" spans="1:28" x14ac:dyDescent="0.2">
      <c r="A186" s="984"/>
      <c r="B186" s="633">
        <v>3</v>
      </c>
      <c r="C186" s="634">
        <f>IF(A181&lt;=$F$3,L160,0)</f>
        <v>0</v>
      </c>
      <c r="D186" s="598">
        <f>IF(A181&lt;=$F$3,M160,0)</f>
        <v>0</v>
      </c>
      <c r="E186" s="598">
        <f>IF(A181&lt;=$F$3,N160,0)</f>
        <v>0</v>
      </c>
      <c r="F186" s="634"/>
      <c r="G186" s="598"/>
      <c r="H186" s="677"/>
      <c r="I186" s="598"/>
      <c r="J186" s="598"/>
      <c r="K186" s="676"/>
      <c r="L186" s="634">
        <f>IF(A181&lt;=$F$3,C186+F186-I186,0)</f>
        <v>0</v>
      </c>
      <c r="M186" s="598">
        <f>IF(A181&lt;=$F$3,D186+G186-J186,0)</f>
        <v>0</v>
      </c>
      <c r="N186" s="598">
        <f>IF(A181&lt;=$F$3,E186+H186-K186,0)</f>
        <v>0</v>
      </c>
      <c r="O186" s="635">
        <f>IF(A181&lt;=$F$3,F186*Q186+G186*R186+H186*S186,0)</f>
        <v>0</v>
      </c>
      <c r="P186" s="636">
        <f>IF(A181&lt;=$F$3,I186*Q186+J186*R186+K186*S186,0)</f>
        <v>0</v>
      </c>
      <c r="Q186" s="637">
        <f t="shared" si="75"/>
        <v>293324.54545454541</v>
      </c>
      <c r="R186" s="638">
        <f t="shared" si="75"/>
        <v>398071.71490909089</v>
      </c>
      <c r="S186" s="639">
        <f t="shared" si="75"/>
        <v>420064.07854545448</v>
      </c>
      <c r="T186" s="637">
        <f>L186*$AH$6*AD$15</f>
        <v>0</v>
      </c>
      <c r="U186" s="640" t="e">
        <f>$AH$6*(1-AE$14)*((1+HLOOKUP($A$181,FC_Premissas!$D$5:$W$16,14,FALSE)^0.0833-1))*L186*12</f>
        <v>#REF!</v>
      </c>
      <c r="V186" s="638">
        <f>M186*$AP$6*AL$15</f>
        <v>0</v>
      </c>
      <c r="W186" s="669" t="e">
        <f>$AP$6*(1-AM$14)*((1+HLOOKUP($A$181,FC_Premissas!$D$5:$W$16,14,FALSE))^0.0833-1)*M186*12</f>
        <v>#REF!</v>
      </c>
      <c r="X186" s="637">
        <f>N186*$AX$6*AT$15</f>
        <v>0</v>
      </c>
      <c r="Y186" s="640" t="e">
        <f>$AX$6*(1-AU$14)*((1+HLOOKUP($A$181,FC_Premissas!$D$5:$W$16,14,FALSE))^0.0833-1)*N186*12</f>
        <v>#REF!</v>
      </c>
      <c r="Z186" s="638">
        <f t="shared" si="76"/>
        <v>0</v>
      </c>
      <c r="AA186" s="669" t="e">
        <f t="shared" si="76"/>
        <v>#REF!</v>
      </c>
      <c r="AB186" s="641"/>
    </row>
    <row r="187" spans="1:28" x14ac:dyDescent="0.2">
      <c r="A187" s="984"/>
      <c r="B187" s="633">
        <v>4</v>
      </c>
      <c r="C187" s="634">
        <f>IF(A181&lt;=$F$3,L161,0)</f>
        <v>0</v>
      </c>
      <c r="D187" s="598">
        <f>IF(A181&lt;=$F$3,M161,0)</f>
        <v>0</v>
      </c>
      <c r="E187" s="598">
        <f>IF(A181&lt;=$F$3,N161,0)</f>
        <v>0</v>
      </c>
      <c r="F187" s="634"/>
      <c r="G187" s="598"/>
      <c r="H187" s="677"/>
      <c r="I187" s="598"/>
      <c r="J187" s="598"/>
      <c r="K187" s="676"/>
      <c r="L187" s="634">
        <f>IF(A181&lt;=$F$3,C187+F187-I187,0)</f>
        <v>0</v>
      </c>
      <c r="M187" s="598">
        <f>IF(A181&lt;=$F$3,D187+G187-J187,0)</f>
        <v>0</v>
      </c>
      <c r="N187" s="598">
        <f>IF(A181&lt;=$F$3,E187+H187-K187,0)</f>
        <v>0</v>
      </c>
      <c r="O187" s="635">
        <f>IF(A181&lt;=$F$3,F187*Q187+G187*R187+H187*S187,0)</f>
        <v>0</v>
      </c>
      <c r="P187" s="636">
        <f>IF(A181&lt;=$F$3,I187*Q187+J187*R187+K187*S187,0)</f>
        <v>0</v>
      </c>
      <c r="Q187" s="637">
        <f t="shared" si="75"/>
        <v>233130.90909090909</v>
      </c>
      <c r="R187" s="638">
        <f t="shared" si="75"/>
        <v>318808.82618181815</v>
      </c>
      <c r="S187" s="639">
        <f t="shared" si="75"/>
        <v>336288.09890909091</v>
      </c>
      <c r="T187" s="637">
        <f>L187*$AH$6*AD$16</f>
        <v>0</v>
      </c>
      <c r="U187" s="640" t="e">
        <f>$AH$6*(1-AE$15)*((1+HLOOKUP($A$181,FC_Premissas!$D$5:$W$16,14,FALSE)^0.0833-1))*L187*12</f>
        <v>#REF!</v>
      </c>
      <c r="V187" s="638">
        <f>M187*$AP$6*AL$16</f>
        <v>0</v>
      </c>
      <c r="W187" s="669" t="e">
        <f>$AP$6*(1-AM$15)*((1+HLOOKUP($A$181,FC_Premissas!$D$5:$W$16,14,FALSE))^0.0833-1)*M187*12</f>
        <v>#REF!</v>
      </c>
      <c r="X187" s="637">
        <f>N187*$AX$6*AT$16</f>
        <v>0</v>
      </c>
      <c r="Y187" s="640" t="e">
        <f>$AX$6*(1-AU$15)*((1+HLOOKUP($A$181,FC_Premissas!$D$5:$W$16,14,FALSE))^0.0833-1)*N187*12</f>
        <v>#REF!</v>
      </c>
      <c r="Z187" s="638">
        <f t="shared" si="76"/>
        <v>0</v>
      </c>
      <c r="AA187" s="669" t="e">
        <f t="shared" si="76"/>
        <v>#REF!</v>
      </c>
      <c r="AB187" s="641"/>
    </row>
    <row r="188" spans="1:28" x14ac:dyDescent="0.2">
      <c r="A188" s="984"/>
      <c r="B188" s="633">
        <v>5</v>
      </c>
      <c r="C188" s="634">
        <f>IF(A181&lt;=$F$3,L162,0)</f>
        <v>0</v>
      </c>
      <c r="D188" s="598">
        <f>IF(A181&lt;=$F$3,M162,0)</f>
        <v>0</v>
      </c>
      <c r="E188" s="598">
        <f>IF(A181&lt;=$F$3,N162,0)</f>
        <v>0</v>
      </c>
      <c r="F188" s="634"/>
      <c r="G188" s="598"/>
      <c r="H188" s="677">
        <v>2</v>
      </c>
      <c r="I188" s="598"/>
      <c r="J188" s="598"/>
      <c r="K188" s="676"/>
      <c r="L188" s="634">
        <f>IF(A181&lt;=$F$3,C188+F188-I188,0)</f>
        <v>0</v>
      </c>
      <c r="M188" s="598">
        <f>IF(A181&lt;=$F$3,D188+G188-J188,0)</f>
        <v>0</v>
      </c>
      <c r="N188" s="598">
        <f>IF(A181&lt;=$F$3,E188+H188-K188,0)</f>
        <v>2</v>
      </c>
      <c r="O188" s="635">
        <f>IF(A181&lt;=$F$3,F188*Q188+G188*R188+H188*S188,0)</f>
        <v>528960.23272727279</v>
      </c>
      <c r="P188" s="636">
        <f>IF(A181&lt;=$F$3,I188*Q188+J188*R188+K188*S188,0)</f>
        <v>0</v>
      </c>
      <c r="Q188" s="637">
        <f t="shared" si="75"/>
        <v>181536.36363636365</v>
      </c>
      <c r="R188" s="638">
        <f t="shared" si="75"/>
        <v>250869.20727272728</v>
      </c>
      <c r="S188" s="639">
        <f t="shared" si="75"/>
        <v>264480.11636363639</v>
      </c>
      <c r="T188" s="637">
        <f>L188*$AH$6*AD$17</f>
        <v>0</v>
      </c>
      <c r="U188" s="640" t="e">
        <f>$AH$6*(1-AE$16)*((1+HLOOKUP($A$181,FC_Premissas!$D$5:$W$16,14,FALSE)^0.0833-1))*L188*12</f>
        <v>#REF!</v>
      </c>
      <c r="V188" s="638">
        <f>M188*$AP$6*AL$17</f>
        <v>0</v>
      </c>
      <c r="W188" s="669" t="e">
        <f>$AP$6*(1-AM$16)*((1+HLOOKUP($A$181,FC_Premissas!$D$5:$W$16,14,FALSE))^0.0833-1)*M188*12</f>
        <v>#REF!</v>
      </c>
      <c r="X188" s="637">
        <f>N188*$AX$6*AT$17</f>
        <v>119679.9709090909</v>
      </c>
      <c r="Y188" s="640" t="e">
        <f>$AX$6*(1-AU$16)*((1+HLOOKUP($A$181,FC_Premissas!$D$5:$W$16,14,FALSE))^0.0833-1)*N188*12</f>
        <v>#REF!</v>
      </c>
      <c r="Z188" s="638">
        <f t="shared" si="76"/>
        <v>119679.9709090909</v>
      </c>
      <c r="AA188" s="669" t="e">
        <f t="shared" si="76"/>
        <v>#REF!</v>
      </c>
      <c r="AB188" s="641"/>
    </row>
    <row r="189" spans="1:28" x14ac:dyDescent="0.2">
      <c r="A189" s="984"/>
      <c r="B189" s="633">
        <v>6</v>
      </c>
      <c r="C189" s="634">
        <f>IF(A181&lt;=$F$3,L163,0)</f>
        <v>0</v>
      </c>
      <c r="D189" s="598">
        <f>IF(A181&lt;=$F$3,M163,0)</f>
        <v>0</v>
      </c>
      <c r="E189" s="598">
        <f>IF(A181&lt;=$F$3,N163,0)</f>
        <v>2</v>
      </c>
      <c r="F189" s="634"/>
      <c r="G189" s="598"/>
      <c r="H189" s="650"/>
      <c r="I189" s="598"/>
      <c r="J189" s="598"/>
      <c r="K189" s="676"/>
      <c r="L189" s="634">
        <f>IF(A181&lt;=$F$3,C189+F189-I189,0)</f>
        <v>0</v>
      </c>
      <c r="M189" s="598">
        <f>IF(A181&lt;=$F$3,D189+G189-J189,0)</f>
        <v>0</v>
      </c>
      <c r="N189" s="598">
        <f>IF(A181&lt;=$F$3,E189+H189-K189,0)</f>
        <v>2</v>
      </c>
      <c r="O189" s="635">
        <f>IF(A181&lt;=$F$3,F189*Q189+G189*R189+H189*S189,0)</f>
        <v>0</v>
      </c>
      <c r="P189" s="636">
        <f>IF(A181&lt;=$F$3,I189*Q189+J189*R189+K189*S189,0)</f>
        <v>0</v>
      </c>
      <c r="Q189" s="637">
        <f t="shared" si="75"/>
        <v>138540.90909090912</v>
      </c>
      <c r="R189" s="638">
        <f t="shared" si="75"/>
        <v>194252.85818181818</v>
      </c>
      <c r="S189" s="639">
        <f t="shared" si="75"/>
        <v>204640.13090909092</v>
      </c>
      <c r="T189" s="637">
        <f>L189*$AH$6*AD$18</f>
        <v>0</v>
      </c>
      <c r="U189" s="640" t="e">
        <f>$AH$6*(1-AE$17)*((1+HLOOKUP($A$181,FC_Premissas!$D$5:$W$16,14,FALSE)^0.0833-1))*L189*12</f>
        <v>#REF!</v>
      </c>
      <c r="V189" s="638">
        <f>M189*$AP$6*AL$18</f>
        <v>0</v>
      </c>
      <c r="W189" s="669" t="e">
        <f>$AP$6*(1-AM$17)*((1+HLOOKUP($A$181,FC_Premissas!$D$5:$W$16,14,FALSE))^0.0833-1)*M189*12</f>
        <v>#REF!</v>
      </c>
      <c r="X189" s="637">
        <f>N189*$AX$6*AT$18</f>
        <v>95743.976727272733</v>
      </c>
      <c r="Y189" s="640" t="e">
        <f>$AX$6*(1-AU$17)*((1+HLOOKUP($A$181,FC_Premissas!$D$5:$W$16,14,FALSE))^0.0833-1)*N189*12</f>
        <v>#REF!</v>
      </c>
      <c r="Z189" s="638">
        <f t="shared" si="76"/>
        <v>95743.976727272733</v>
      </c>
      <c r="AA189" s="669" t="e">
        <f t="shared" si="76"/>
        <v>#REF!</v>
      </c>
      <c r="AB189" s="641"/>
    </row>
    <row r="190" spans="1:28" x14ac:dyDescent="0.2">
      <c r="A190" s="984"/>
      <c r="B190" s="633">
        <v>7</v>
      </c>
      <c r="C190" s="634">
        <f>IF(A181&lt;=$F$3,L164,0)</f>
        <v>0</v>
      </c>
      <c r="D190" s="598">
        <f>IF(A181&lt;=$F$3,M164,0)</f>
        <v>0</v>
      </c>
      <c r="E190" s="598">
        <f>IF(A181&lt;=$F$3,N164,0)</f>
        <v>1</v>
      </c>
      <c r="F190" s="634"/>
      <c r="G190" s="598"/>
      <c r="H190" s="650"/>
      <c r="I190" s="598"/>
      <c r="J190" s="598"/>
      <c r="K190" s="676"/>
      <c r="L190" s="634">
        <f>IF(A181&lt;=$F$3,C190+F190-I190,0)</f>
        <v>0</v>
      </c>
      <c r="M190" s="598">
        <f>IF(A181&lt;=$F$3,D190+G190-J190,0)</f>
        <v>0</v>
      </c>
      <c r="N190" s="598">
        <f>IF(A181&lt;=$F$3,E190+H190-K190,0)</f>
        <v>1</v>
      </c>
      <c r="O190" s="635">
        <f>IF(A181&lt;=$F$3,F190*Q190+G190*R190+H190*S190,0)</f>
        <v>0</v>
      </c>
      <c r="P190" s="636">
        <f>IF(A181&lt;=$F$3,I190*Q190+J190*R190+K190*S190,0)</f>
        <v>0</v>
      </c>
      <c r="Q190" s="637">
        <f t="shared" si="75"/>
        <v>104144.54545454548</v>
      </c>
      <c r="R190" s="638">
        <f t="shared" si="75"/>
        <v>148959.77890909094</v>
      </c>
      <c r="S190" s="639">
        <f t="shared" si="75"/>
        <v>156768.14254545458</v>
      </c>
      <c r="T190" s="637">
        <f>L190*$AH$6*AD$19</f>
        <v>0</v>
      </c>
      <c r="U190" s="640" t="e">
        <f>$AH$6*(1-AE$18)*((1+HLOOKUP($A$181,FC_Premissas!$D$5:$W$16,14,FALSE)^0.0833-1))*L190*12</f>
        <v>#REF!</v>
      </c>
      <c r="V190" s="638">
        <f>M190*$AP$6*AL$19</f>
        <v>0</v>
      </c>
      <c r="W190" s="669" t="e">
        <f>$AP$6*(1-AM$18)*((1+HLOOKUP($A$181,FC_Premissas!$D$5:$W$16,14,FALSE))^0.0833-1)*M190*12</f>
        <v>#REF!</v>
      </c>
      <c r="X190" s="637">
        <f>N190*$AX$6*AT$19</f>
        <v>35903.991272727275</v>
      </c>
      <c r="Y190" s="640" t="e">
        <f>$AX$6*(1-AU$18)*((1+HLOOKUP($A$181,FC_Premissas!$D$5:$W$16,14,FALSE))^0.0833-1)*N190*12</f>
        <v>#REF!</v>
      </c>
      <c r="Z190" s="638">
        <f t="shared" si="76"/>
        <v>35903.991272727275</v>
      </c>
      <c r="AA190" s="669" t="e">
        <f t="shared" si="76"/>
        <v>#REF!</v>
      </c>
      <c r="AB190" s="641"/>
    </row>
    <row r="191" spans="1:28" x14ac:dyDescent="0.2">
      <c r="A191" s="984"/>
      <c r="B191" s="633">
        <v>8</v>
      </c>
      <c r="C191" s="634">
        <f>IF(A181&lt;=$F$3,L165,0)</f>
        <v>0</v>
      </c>
      <c r="D191" s="598">
        <f>IF(A181&lt;=$F$3,M165,0)</f>
        <v>0</v>
      </c>
      <c r="E191" s="598">
        <f>IF(A181&lt;=$F$3,N165,0)</f>
        <v>3</v>
      </c>
      <c r="F191" s="634"/>
      <c r="G191" s="598"/>
      <c r="H191" s="650"/>
      <c r="I191" s="598"/>
      <c r="J191" s="598"/>
      <c r="K191" s="676"/>
      <c r="L191" s="634">
        <f>IF(A181&lt;=$F$3,C191+F191-I191,0)</f>
        <v>0</v>
      </c>
      <c r="M191" s="598">
        <f>IF(A181&lt;=$F$3,D191+G191-J191,0)</f>
        <v>0</v>
      </c>
      <c r="N191" s="598">
        <f>IF(A181&lt;=$F$3,E191+H191-K191,0)</f>
        <v>3</v>
      </c>
      <c r="O191" s="635">
        <f>IF(A181&lt;=$F$3,F191*Q191+G191*R191+H191*S191,0)</f>
        <v>0</v>
      </c>
      <c r="P191" s="636">
        <f>IF(A181&lt;=$F$3,I191*Q191+J191*R191+K191*S191,0)</f>
        <v>0</v>
      </c>
      <c r="Q191" s="637">
        <f t="shared" si="75"/>
        <v>78347.272727272764</v>
      </c>
      <c r="R191" s="638">
        <f t="shared" si="75"/>
        <v>114989.9694545455</v>
      </c>
      <c r="S191" s="639">
        <f t="shared" si="75"/>
        <v>120864.15127272732</v>
      </c>
      <c r="T191" s="637">
        <f>L191*$AH$6*AD$20</f>
        <v>0</v>
      </c>
      <c r="U191" s="640" t="e">
        <f>$AH$6*(1-AE$19)*((1+HLOOKUP($A$181,FC_Premissas!$D$5:$W$16,14,FALSE)^0.0833-1))*L191*12</f>
        <v>#REF!</v>
      </c>
      <c r="V191" s="638">
        <f>M191*$AP$6*AL$20</f>
        <v>0</v>
      </c>
      <c r="W191" s="669" t="e">
        <f>$AP$6*(1-AM$19)*((1+HLOOKUP($A$181,FC_Premissas!$D$5:$W$16,14,FALSE))^0.0833-1)*M191*12</f>
        <v>#REF!</v>
      </c>
      <c r="X191" s="637">
        <f>N191*$AX$6*AT$20</f>
        <v>71807.98254545455</v>
      </c>
      <c r="Y191" s="640" t="e">
        <f>$AX$6*(1-AU$19)*((1+HLOOKUP($A$181,FC_Premissas!$D$5:$W$16,14,FALSE))^0.0833-1)*N191*12</f>
        <v>#REF!</v>
      </c>
      <c r="Z191" s="638">
        <f t="shared" si="76"/>
        <v>71807.98254545455</v>
      </c>
      <c r="AA191" s="669" t="e">
        <f t="shared" si="76"/>
        <v>#REF!</v>
      </c>
      <c r="AB191" s="641"/>
    </row>
    <row r="192" spans="1:28" x14ac:dyDescent="0.2">
      <c r="A192" s="984"/>
      <c r="B192" s="633">
        <v>9</v>
      </c>
      <c r="C192" s="634">
        <f>IF(A181&lt;=$F$3,L166,0)</f>
        <v>0</v>
      </c>
      <c r="D192" s="598">
        <f>IF(A181&lt;=$F$3,M166,0)</f>
        <v>0</v>
      </c>
      <c r="E192" s="598">
        <f>IF(A181&lt;=$F$3,N166,0)</f>
        <v>0</v>
      </c>
      <c r="F192" s="634"/>
      <c r="G192" s="598"/>
      <c r="H192" s="650"/>
      <c r="I192" s="598"/>
      <c r="J192" s="598"/>
      <c r="K192" s="676"/>
      <c r="L192" s="634">
        <f>IF(A181&lt;=$F$3,C192+F192-I192,0)</f>
        <v>0</v>
      </c>
      <c r="M192" s="598">
        <f>IF(A181&lt;=$F$3,D192+G192-J192,0)</f>
        <v>0</v>
      </c>
      <c r="N192" s="598">
        <f>IF(A181&lt;=$F$3,E192+H192-K192,0)</f>
        <v>0</v>
      </c>
      <c r="O192" s="635">
        <f>IF(A181&lt;=$F$3,F192*Q192+G192*R192+H192*S192,0)</f>
        <v>0</v>
      </c>
      <c r="P192" s="636">
        <f>IF(A181&lt;=$F$3,I192*Q192+J192*R192+K192*S192,0)</f>
        <v>0</v>
      </c>
      <c r="Q192" s="637">
        <f t="shared" si="75"/>
        <v>61149.090909090955</v>
      </c>
      <c r="R192" s="638">
        <f t="shared" si="75"/>
        <v>92343.429818181874</v>
      </c>
      <c r="S192" s="639">
        <f t="shared" si="75"/>
        <v>96928.157090909139</v>
      </c>
      <c r="T192" s="637">
        <f>L192*$AH$6*AD$21</f>
        <v>0</v>
      </c>
      <c r="U192" s="640" t="e">
        <f>$AH$6*(1-AE$20)*((1+HLOOKUP($A$181,FC_Premissas!$D$5:$W$16,14,FALSE)^0.0833-1))*L192*12</f>
        <v>#REF!</v>
      </c>
      <c r="V192" s="638">
        <f>M192*$AP$6*AL$21</f>
        <v>0</v>
      </c>
      <c r="W192" s="669" t="e">
        <f>$AP$6*(1-AM$20)*((1+HLOOKUP($A$181,FC_Premissas!$D$5:$W$16,14,FALSE))^0.0833-1)*M192*12</f>
        <v>#REF!</v>
      </c>
      <c r="X192" s="637">
        <f>N192*$AX$6*AT$21</f>
        <v>0</v>
      </c>
      <c r="Y192" s="640" t="e">
        <f>$AX$6*(1-AU$20)*((1+HLOOKUP($A$181,FC_Premissas!$D$5:$W$16,14,FALSE))^0.0833-1)*N192*12</f>
        <v>#REF!</v>
      </c>
      <c r="Z192" s="638">
        <f t="shared" si="76"/>
        <v>0</v>
      </c>
      <c r="AA192" s="669" t="e">
        <f t="shared" si="76"/>
        <v>#REF!</v>
      </c>
      <c r="AB192" s="641"/>
    </row>
    <row r="193" spans="1:28" x14ac:dyDescent="0.2">
      <c r="A193" s="984"/>
      <c r="B193" s="633">
        <v>10</v>
      </c>
      <c r="C193" s="634">
        <f>IF(A181&lt;=$F$3,L167,0)</f>
        <v>0</v>
      </c>
      <c r="D193" s="598">
        <f>IF(A181&lt;=$F$3,M167,0)</f>
        <v>0</v>
      </c>
      <c r="E193" s="598">
        <f>IF(A181&lt;=$F$3,N167,0)</f>
        <v>3</v>
      </c>
      <c r="F193" s="634"/>
      <c r="G193" s="598"/>
      <c r="H193" s="650"/>
      <c r="I193" s="598"/>
      <c r="J193" s="598"/>
      <c r="K193" s="676"/>
      <c r="L193" s="634">
        <f>IF(A181&lt;=$F$3,C193+F193-I193,0)</f>
        <v>0</v>
      </c>
      <c r="M193" s="598">
        <f>IF(A181&lt;=$F$3,D193+G193-J193,0)</f>
        <v>0</v>
      </c>
      <c r="N193" s="598">
        <f>IF(A181&lt;=$F$3,E193+H193-K193,0)</f>
        <v>3</v>
      </c>
      <c r="O193" s="635">
        <f>IF(A181&lt;=$F$3,F193*Q193+G193*R193+H193*S193,0)</f>
        <v>0</v>
      </c>
      <c r="P193" s="636">
        <f>IF(A181&lt;=$F$3,I193*Q193+J193*R193+K193*S193,0)</f>
        <v>0</v>
      </c>
      <c r="Q193" s="637">
        <f t="shared" si="75"/>
        <v>52550.000000000044</v>
      </c>
      <c r="R193" s="638">
        <f t="shared" si="75"/>
        <v>81020.160000000062</v>
      </c>
      <c r="S193" s="639">
        <f t="shared" si="75"/>
        <v>84960.160000000062</v>
      </c>
      <c r="T193" s="637">
        <f>L193*$AH$6*AD$22</f>
        <v>0</v>
      </c>
      <c r="U193" s="640" t="e">
        <f>$AH$6*(1-AE$21)*((1+HLOOKUP($A$181,FC_Premissas!$D$5:$W$16,14,FALSE)^0.0833-1))*L193*12</f>
        <v>#REF!</v>
      </c>
      <c r="V193" s="638">
        <f>M193*$AP$6*AL$22</f>
        <v>0</v>
      </c>
      <c r="W193" s="669" t="e">
        <f>$AP$6*(1-AM$21)*((1+HLOOKUP($A$181,FC_Premissas!$D$5:$W$16,14,FALSE))^0.0833-1)*M193*12</f>
        <v>#REF!</v>
      </c>
      <c r="X193" s="637">
        <f>N193*$AX$6*AT$22</f>
        <v>0</v>
      </c>
      <c r="Y193" s="640" t="e">
        <f>$AX$6*(1-AU$21)*((1+HLOOKUP($A$181,FC_Premissas!$D$5:$W$16,14,FALSE))^0.0833-1)*N193*12</f>
        <v>#REF!</v>
      </c>
      <c r="Z193" s="638">
        <f t="shared" si="76"/>
        <v>0</v>
      </c>
      <c r="AA193" s="669" t="e">
        <f t="shared" si="76"/>
        <v>#REF!</v>
      </c>
      <c r="AB193" s="641"/>
    </row>
    <row r="194" spans="1:28" x14ac:dyDescent="0.2">
      <c r="A194" s="984"/>
      <c r="B194" s="633">
        <v>11</v>
      </c>
      <c r="C194" s="634">
        <f>IF(A181&lt;=$F$3,L168,0)</f>
        <v>0</v>
      </c>
      <c r="D194" s="598">
        <f>IF(A181&lt;=$F$3,M168,0)</f>
        <v>0</v>
      </c>
      <c r="E194" s="598">
        <f>IF(A181&lt;=$F$3,N168,0)</f>
        <v>0</v>
      </c>
      <c r="F194" s="634"/>
      <c r="G194" s="598"/>
      <c r="H194" s="650"/>
      <c r="I194" s="598"/>
      <c r="J194" s="598"/>
      <c r="K194" s="676"/>
      <c r="L194" s="634">
        <f>IF(A181&lt;=$F$3,C194+F194-I194,0)</f>
        <v>0</v>
      </c>
      <c r="M194" s="598">
        <f>IF(A181&lt;=$F$3,D194+G194-J194,0)</f>
        <v>0</v>
      </c>
      <c r="N194" s="598">
        <f>IF(A181&lt;=$F$3,E194+H194-K194,0)</f>
        <v>0</v>
      </c>
      <c r="O194" s="635">
        <f>IF(A181&lt;=$F$3,F194*Q194+G194*R194+H194*S194,0)</f>
        <v>0</v>
      </c>
      <c r="P194" s="636">
        <f>IF(A181&lt;=$F$3,I194*Q194+J194*R194+K194*S194,0)</f>
        <v>0</v>
      </c>
      <c r="Q194" s="637">
        <f t="shared" si="75"/>
        <v>52550.000000000044</v>
      </c>
      <c r="R194" s="638">
        <f t="shared" si="75"/>
        <v>81020.160000000062</v>
      </c>
      <c r="S194" s="639">
        <f t="shared" si="75"/>
        <v>84960.160000000062</v>
      </c>
      <c r="T194" s="637">
        <f>L194*$AH$6*AD$23</f>
        <v>0</v>
      </c>
      <c r="U194" s="640" t="e">
        <f>$AH$6*(1-AE$22)*((1+HLOOKUP($A$181,FC_Premissas!$D$5:$W$16,14,FALSE)^0.0833-1))*L194*12</f>
        <v>#REF!</v>
      </c>
      <c r="V194" s="638">
        <f>M194*$AP$6*AL$23</f>
        <v>0</v>
      </c>
      <c r="W194" s="669" t="e">
        <f>$AP$6*(1-AM$22)*((1+HLOOKUP($A$181,FC_Premissas!$D$5:$W$16,14,FALSE))^0.0833-1)*M194*12</f>
        <v>#REF!</v>
      </c>
      <c r="X194" s="637">
        <f>N194*$AX$6*AT$23</f>
        <v>0</v>
      </c>
      <c r="Y194" s="640" t="e">
        <f>$AX$6*(1-AU$22)*((1+HLOOKUP($A$181,FC_Premissas!$D$5:$W$16,14,FALSE))^0.0833-1)*N194*12</f>
        <v>#REF!</v>
      </c>
      <c r="Z194" s="638">
        <f t="shared" si="76"/>
        <v>0</v>
      </c>
      <c r="AA194" s="669" t="e">
        <f t="shared" si="76"/>
        <v>#REF!</v>
      </c>
      <c r="AB194" s="641"/>
    </row>
    <row r="195" spans="1:28" x14ac:dyDescent="0.2">
      <c r="A195" s="984"/>
      <c r="B195" s="633">
        <v>12</v>
      </c>
      <c r="C195" s="634">
        <f>IF(A181&lt;=$F$3,L169,0)</f>
        <v>0</v>
      </c>
      <c r="D195" s="598">
        <f>IF(A181&lt;=$F$3,M169,0)</f>
        <v>0</v>
      </c>
      <c r="E195" s="598">
        <f>IF(A181&lt;=$F$3,N169,0)</f>
        <v>2</v>
      </c>
      <c r="F195" s="634"/>
      <c r="G195" s="598"/>
      <c r="H195" s="650"/>
      <c r="I195" s="598"/>
      <c r="J195" s="598"/>
      <c r="K195" s="676">
        <v>2</v>
      </c>
      <c r="L195" s="634">
        <f>IF(A181&lt;=$F$3,C195+F195-I195,0)</f>
        <v>0</v>
      </c>
      <c r="M195" s="598">
        <f>IF(A181&lt;=$F$3,D195+G195-J195,0)</f>
        <v>0</v>
      </c>
      <c r="N195" s="598">
        <f>IF(A181&lt;=$F$3,E195+H195-K195,0)</f>
        <v>0</v>
      </c>
      <c r="O195" s="635">
        <f>IF(A181&lt;=$F$3,F195*Q195+G195*R195+H195*S195,0)</f>
        <v>0</v>
      </c>
      <c r="P195" s="636">
        <f>IF(A181&lt;=$F$3,I195*Q195+J195*R195+K195*S195,0)</f>
        <v>169920.32000000012</v>
      </c>
      <c r="Q195" s="637">
        <f t="shared" si="75"/>
        <v>52550.000000000044</v>
      </c>
      <c r="R195" s="638">
        <f t="shared" si="75"/>
        <v>81020.160000000062</v>
      </c>
      <c r="S195" s="639">
        <f t="shared" si="75"/>
        <v>84960.160000000062</v>
      </c>
      <c r="T195" s="637">
        <f>L195*$AH$6*AD$24</f>
        <v>0</v>
      </c>
      <c r="U195" s="640" t="e">
        <f>$AH$6*(1-AE$23)*((1+HLOOKUP($A$181,FC_Premissas!$D$5:$W$16,14,FALSE)^0.0833-1))*L195*12</f>
        <v>#REF!</v>
      </c>
      <c r="V195" s="638">
        <f>M195*$AP$6*AL$24</f>
        <v>0</v>
      </c>
      <c r="W195" s="669" t="e">
        <f>$AP$6*(1-AM$23)*((1+HLOOKUP($A$181,FC_Premissas!$D$5:$W$16,14,FALSE))^0.0833-1)*M195*12</f>
        <v>#REF!</v>
      </c>
      <c r="X195" s="637">
        <f>N195*$AX$6*AT$24</f>
        <v>0</v>
      </c>
      <c r="Y195" s="640" t="e">
        <f>$AX$6*(1-AU$23)*((1+HLOOKUP($A$181,FC_Premissas!$D$5:$W$16,14,FALSE))^0.0833-1)*N195*12</f>
        <v>#REF!</v>
      </c>
      <c r="Z195" s="638">
        <f t="shared" si="76"/>
        <v>0</v>
      </c>
      <c r="AA195" s="669" t="e">
        <f t="shared" si="76"/>
        <v>#REF!</v>
      </c>
      <c r="AB195" s="641"/>
    </row>
    <row r="196" spans="1:28" ht="11.25" customHeight="1" x14ac:dyDescent="0.2">
      <c r="A196" s="984"/>
      <c r="B196" s="633">
        <v>13</v>
      </c>
      <c r="C196" s="634">
        <f>IF(A181&lt;=$F$3,L170,0)</f>
        <v>0</v>
      </c>
      <c r="D196" s="598">
        <f>IF(A181&lt;=$F$3,M170,0)</f>
        <v>0</v>
      </c>
      <c r="E196" s="650">
        <f>IF(A181&lt;=$F$3,N170,0)</f>
        <v>0</v>
      </c>
      <c r="F196" s="634"/>
      <c r="G196" s="598"/>
      <c r="H196" s="598"/>
      <c r="I196" s="634"/>
      <c r="J196" s="598"/>
      <c r="K196" s="676"/>
      <c r="L196" s="634">
        <f>IF(A181&lt;=$F$3,C196+F196-I196,0)</f>
        <v>0</v>
      </c>
      <c r="M196" s="598">
        <f>IF(A181&lt;=$F$3,D196+G196-J196,0)</f>
        <v>0</v>
      </c>
      <c r="N196" s="598">
        <f>IF(A181&lt;=$F$3,E196+H196-K196,0)</f>
        <v>0</v>
      </c>
      <c r="O196" s="635">
        <f>IF(A181&lt;=$F$3,F196*Q196+G196*R196+H196*S196,0)</f>
        <v>0</v>
      </c>
      <c r="P196" s="636">
        <f>IF(A181&lt;=$F$3,I196*Q196+J196*R196+K196*S196,0)</f>
        <v>0</v>
      </c>
      <c r="Q196" s="637">
        <f t="shared" si="75"/>
        <v>52550.000000000044</v>
      </c>
      <c r="R196" s="638">
        <f t="shared" si="75"/>
        <v>81020.160000000062</v>
      </c>
      <c r="S196" s="639">
        <f t="shared" si="75"/>
        <v>84960.160000000062</v>
      </c>
      <c r="T196" s="637">
        <f>L196*$AH$6*AD$25</f>
        <v>0</v>
      </c>
      <c r="U196" s="640" t="e">
        <f>$AH$6*(1-AE$24)*((1+HLOOKUP($A$181,FC_Premissas!$D$5:$W$16,14,FALSE)^0.0833-1))*L196*12</f>
        <v>#REF!</v>
      </c>
      <c r="V196" s="638">
        <f>M196*$AP$6*AL$25</f>
        <v>0</v>
      </c>
      <c r="W196" s="669" t="e">
        <f>$AP$6*(1-AM$24)*((1+HLOOKUP($A$181,FC_Premissas!$D$5:$W$16,14,FALSE))^0.0833-1)*M196*12</f>
        <v>#REF!</v>
      </c>
      <c r="X196" s="637">
        <f>N196*$AX$6*AT$25</f>
        <v>0</v>
      </c>
      <c r="Y196" s="640" t="e">
        <f>$AX$6*(1-AU$24)*((1+HLOOKUP($A$181,FC_Premissas!$D$5:$W$16,14,FALSE))^0.0833-1)*N196*12</f>
        <v>#REF!</v>
      </c>
      <c r="Z196" s="638">
        <f t="shared" si="76"/>
        <v>0</v>
      </c>
      <c r="AA196" s="669" t="e">
        <f t="shared" si="76"/>
        <v>#REF!</v>
      </c>
      <c r="AB196" s="641"/>
    </row>
    <row r="197" spans="1:28" ht="11.25" customHeight="1" x14ac:dyDescent="0.2">
      <c r="A197" s="984"/>
      <c r="B197" s="633">
        <v>14</v>
      </c>
      <c r="C197" s="634">
        <f>IF(A181&lt;=$F$3,L171,0)</f>
        <v>0</v>
      </c>
      <c r="D197" s="598">
        <f>IF(A181&lt;=$F$3,M171,0)</f>
        <v>0</v>
      </c>
      <c r="E197" s="650">
        <f>IF(A181&lt;=$F$3,N171,0)</f>
        <v>0</v>
      </c>
      <c r="F197" s="634"/>
      <c r="G197" s="598"/>
      <c r="H197" s="598"/>
      <c r="I197" s="634"/>
      <c r="J197" s="598"/>
      <c r="K197" s="598"/>
      <c r="L197" s="634">
        <f>IF(A181&lt;=$F$3,C197+F197-I197,0)</f>
        <v>0</v>
      </c>
      <c r="M197" s="598">
        <f>IF(A181&lt;=$F$3,D197+G197-J197,0)</f>
        <v>0</v>
      </c>
      <c r="N197" s="598">
        <f>IF(A181&lt;=$F$3,E197+H197-K197,0)</f>
        <v>0</v>
      </c>
      <c r="O197" s="635">
        <f>IF(A181&lt;=$F$3,F197*Q197+G197*R197+H197*S197,0)</f>
        <v>0</v>
      </c>
      <c r="P197" s="636">
        <f>IF(A181&lt;=$F$3,I197*Q197+J197*R197+K197*S197,0)</f>
        <v>0</v>
      </c>
      <c r="Q197" s="637">
        <f t="shared" si="75"/>
        <v>52550.000000000044</v>
      </c>
      <c r="R197" s="638">
        <f t="shared" si="75"/>
        <v>81020.160000000062</v>
      </c>
      <c r="S197" s="639">
        <f t="shared" si="75"/>
        <v>84960.160000000062</v>
      </c>
      <c r="T197" s="637">
        <f>L197*$AH$6*AD$26</f>
        <v>0</v>
      </c>
      <c r="U197" s="640" t="e">
        <f>$AH$6*(1-AE$25)*((1+HLOOKUP($A$181,FC_Premissas!$D$5:$W$16,14,FALSE)^0.0833-1))*L197*12</f>
        <v>#REF!</v>
      </c>
      <c r="V197" s="638">
        <f>M197*$AP$6*AL$26</f>
        <v>0</v>
      </c>
      <c r="W197" s="669" t="e">
        <f>$AP$6*(1-AM$25)*((1+HLOOKUP($A$181,FC_Premissas!$D$5:$W$16,14,FALSE))^0.0833-1)*M197*12</f>
        <v>#REF!</v>
      </c>
      <c r="X197" s="637">
        <f>N197*$AX$6*AT$26</f>
        <v>0</v>
      </c>
      <c r="Y197" s="640" t="e">
        <f>$AX$6*(1-AU$25)*((1+HLOOKUP($A$181,FC_Premissas!$D$5:$W$16,14,FALSE))^0.0833-1)*N197*12</f>
        <v>#REF!</v>
      </c>
      <c r="Z197" s="638">
        <f t="shared" si="76"/>
        <v>0</v>
      </c>
      <c r="AA197" s="669" t="e">
        <f t="shared" si="76"/>
        <v>#REF!</v>
      </c>
      <c r="AB197" s="641"/>
    </row>
    <row r="198" spans="1:28" ht="11.25" customHeight="1" x14ac:dyDescent="0.2">
      <c r="A198" s="984"/>
      <c r="B198" s="633">
        <v>15</v>
      </c>
      <c r="C198" s="634">
        <f>IF(A181&lt;=$F$3,L172,0)</f>
        <v>0</v>
      </c>
      <c r="D198" s="598">
        <f>IF(A181&lt;=$F$3,M172,0)</f>
        <v>0</v>
      </c>
      <c r="E198" s="650">
        <f>IF(A181&lt;=$F$3,N172,0)</f>
        <v>0</v>
      </c>
      <c r="F198" s="634"/>
      <c r="G198" s="598"/>
      <c r="H198" s="598"/>
      <c r="I198" s="634"/>
      <c r="J198" s="598"/>
      <c r="K198" s="598"/>
      <c r="L198" s="634">
        <f>IF(A181&lt;=$F$3,C198+F198-I198,0)</f>
        <v>0</v>
      </c>
      <c r="M198" s="598">
        <f>IF(A181&lt;=$F$3,D198+G198-J198,0)</f>
        <v>0</v>
      </c>
      <c r="N198" s="598">
        <f>IF(A181&lt;=$F$3,E198+H198-K198,0)</f>
        <v>0</v>
      </c>
      <c r="O198" s="635">
        <f>IF(A181&lt;=$F$3,F198*Q198+G198*R198+H198*S198,0)</f>
        <v>0</v>
      </c>
      <c r="P198" s="636">
        <f>IF(A181&lt;=$F$3,I198*Q198+J198*R198+K198*S198,0)</f>
        <v>0</v>
      </c>
      <c r="Q198" s="637">
        <f t="shared" si="75"/>
        <v>52550.000000000044</v>
      </c>
      <c r="R198" s="638">
        <f t="shared" si="75"/>
        <v>81020.160000000062</v>
      </c>
      <c r="S198" s="639">
        <f t="shared" si="75"/>
        <v>84960.160000000062</v>
      </c>
      <c r="T198" s="637">
        <f t="shared" ref="T198:T203" si="77">L198*$AH$6*AD$27</f>
        <v>0</v>
      </c>
      <c r="U198" s="640" t="e">
        <f>$AH$6*(1-AE$26)*((1+HLOOKUP($A$181,FC_Premissas!$D$5:$W$16,14,FALSE)^0.0833-1))*L198*12</f>
        <v>#REF!</v>
      </c>
      <c r="V198" s="638">
        <f t="shared" ref="V198:V203" si="78">M198*$AP$6*AL$27</f>
        <v>0</v>
      </c>
      <c r="W198" s="669" t="e">
        <f>$AP$6*(1-AM$26)*((1+HLOOKUP($A$181,FC_Premissas!$D$5:$W$16,14,FALSE))^0.0833-1)*M198*12</f>
        <v>#REF!</v>
      </c>
      <c r="X198" s="637">
        <f t="shared" ref="X198:X203" si="79">N198*$AX$6*AT$27</f>
        <v>0</v>
      </c>
      <c r="Y198" s="640" t="e">
        <f>$AX$6*(1-AU$26)*((1+HLOOKUP($A$181,FC_Premissas!$D$5:$W$16,14,FALSE))^0.0833-1)*N198*12</f>
        <v>#REF!</v>
      </c>
      <c r="Z198" s="638">
        <f t="shared" si="76"/>
        <v>0</v>
      </c>
      <c r="AA198" s="640" t="e">
        <f t="shared" si="76"/>
        <v>#REF!</v>
      </c>
      <c r="AB198" s="641"/>
    </row>
    <row r="199" spans="1:28" x14ac:dyDescent="0.2">
      <c r="A199" s="984"/>
      <c r="B199" s="633">
        <v>16</v>
      </c>
      <c r="C199" s="634">
        <f>IF(A181&lt;=$F$3,L173,0)</f>
        <v>0</v>
      </c>
      <c r="D199" s="598">
        <f>IF(A181&lt;=$F$3,M173,0)</f>
        <v>0</v>
      </c>
      <c r="E199" s="650">
        <f>IF(A181&lt;=$F$3,N173,0)</f>
        <v>0</v>
      </c>
      <c r="F199" s="634"/>
      <c r="G199" s="598"/>
      <c r="H199" s="598"/>
      <c r="I199" s="634"/>
      <c r="J199" s="598"/>
      <c r="K199" s="598"/>
      <c r="L199" s="634">
        <f>IF(A181&lt;=$F$3,C199+F199-I199,0)</f>
        <v>0</v>
      </c>
      <c r="M199" s="598">
        <f>IF(A181&lt;=$F$3,D199+G199-J199,0)</f>
        <v>0</v>
      </c>
      <c r="N199" s="598">
        <f>IF(A181&lt;=$F$3,E199+H199-K199,0)</f>
        <v>0</v>
      </c>
      <c r="O199" s="635">
        <f>IF(A181&lt;=$F$3,F199*Q199+G199*R199+H199*S199,0)</f>
        <v>0</v>
      </c>
      <c r="P199" s="636">
        <f>IF(A181&lt;=$F$3,I199*Q199+J199*R199+K199*S199,0)</f>
        <v>0</v>
      </c>
      <c r="Q199" s="637">
        <f t="shared" ref="Q199:S203" si="80">Q174</f>
        <v>52550.000000000044</v>
      </c>
      <c r="R199" s="638">
        <f t="shared" si="80"/>
        <v>81020.160000000062</v>
      </c>
      <c r="S199" s="639">
        <f t="shared" si="80"/>
        <v>84960.160000000062</v>
      </c>
      <c r="T199" s="637">
        <f t="shared" si="77"/>
        <v>0</v>
      </c>
      <c r="U199" s="640" t="e">
        <f>$AH$6*(1-AE$27)*((1+HLOOKUP($A$181,FC_Premissas!$D$5:$W$16,14,FALSE)^0.0833-1))*L199*12</f>
        <v>#REF!</v>
      </c>
      <c r="V199" s="638">
        <f t="shared" si="78"/>
        <v>0</v>
      </c>
      <c r="W199" s="669" t="e">
        <f>$AP$6*(1-AM$27)*((1+HLOOKUP($A$181,FC_Premissas!$D$5:$W$16,14,FALSE))^0.0833-1)*M199*12</f>
        <v>#REF!</v>
      </c>
      <c r="X199" s="637">
        <f t="shared" si="79"/>
        <v>0</v>
      </c>
      <c r="Y199" s="640" t="e">
        <f>$AX$6*(1-AU$27)*((1+HLOOKUP($A$181,FC_Premissas!$D$5:$W$16,14,FALSE))^0.0833-1)*N199*12</f>
        <v>#REF!</v>
      </c>
      <c r="Z199" s="638">
        <f t="shared" si="76"/>
        <v>0</v>
      </c>
      <c r="AA199" s="640" t="e">
        <f t="shared" si="76"/>
        <v>#REF!</v>
      </c>
      <c r="AB199" s="641"/>
    </row>
    <row r="200" spans="1:28" x14ac:dyDescent="0.2">
      <c r="A200" s="984"/>
      <c r="B200" s="633">
        <v>17</v>
      </c>
      <c r="C200" s="634">
        <f>IF(A181&lt;=$F$3,L174,0)</f>
        <v>0</v>
      </c>
      <c r="D200" s="598">
        <f>IF(A181&lt;=$F$3,M174,0)</f>
        <v>0</v>
      </c>
      <c r="E200" s="650">
        <f>IF(A181&lt;=$F$3,N174,0)</f>
        <v>0</v>
      </c>
      <c r="F200" s="634"/>
      <c r="G200" s="598"/>
      <c r="H200" s="598"/>
      <c r="I200" s="634"/>
      <c r="J200" s="598"/>
      <c r="K200" s="598"/>
      <c r="L200" s="634">
        <f>IF(A181&lt;=$F$3,C200+F200-I200,0)</f>
        <v>0</v>
      </c>
      <c r="M200" s="598">
        <f>IF(A181&lt;=$F$3,D200+G200-J200,0)</f>
        <v>0</v>
      </c>
      <c r="N200" s="598">
        <f>IF(A181&lt;=$F$3,E200+H200-K200,0)</f>
        <v>0</v>
      </c>
      <c r="O200" s="635">
        <f>IF(A181&lt;=$F$3,F200*Q200+G200*R200+H200*S200,0)</f>
        <v>0</v>
      </c>
      <c r="P200" s="636">
        <f>IF(A181&lt;=$F$3,I200*Q200+J200*R200+K200*S200,0)</f>
        <v>0</v>
      </c>
      <c r="Q200" s="637">
        <f t="shared" si="80"/>
        <v>52550.000000000044</v>
      </c>
      <c r="R200" s="638">
        <f t="shared" si="80"/>
        <v>81020.160000000062</v>
      </c>
      <c r="S200" s="639">
        <f t="shared" si="80"/>
        <v>84960.160000000062</v>
      </c>
      <c r="T200" s="637">
        <f t="shared" si="77"/>
        <v>0</v>
      </c>
      <c r="U200" s="640" t="e">
        <f>$AH$6*(1-AE$28)*((1+HLOOKUP($A$181,FC_Premissas!$D$5:$W$16,14,FALSE)^0.0833-1))*L200*12</f>
        <v>#REF!</v>
      </c>
      <c r="V200" s="638">
        <f t="shared" si="78"/>
        <v>0</v>
      </c>
      <c r="W200" s="669" t="e">
        <f>$AP$6*(1-AM$28)*((1+HLOOKUP($A$181,FC_Premissas!$D$5:$W$16,14,FALSE))^0.0833-1)*M200*12</f>
        <v>#REF!</v>
      </c>
      <c r="X200" s="637">
        <f t="shared" si="79"/>
        <v>0</v>
      </c>
      <c r="Y200" s="640" t="e">
        <f>$AX$6*(1-AU$28)*((1+HLOOKUP($A$181,FC_Premissas!$D$5:$W$16,14,FALSE))^0.0833-1)*N200*12</f>
        <v>#REF!</v>
      </c>
      <c r="Z200" s="638">
        <f t="shared" si="76"/>
        <v>0</v>
      </c>
      <c r="AA200" s="640" t="e">
        <f t="shared" si="76"/>
        <v>#REF!</v>
      </c>
      <c r="AB200" s="641"/>
    </row>
    <row r="201" spans="1:28" x14ac:dyDescent="0.2">
      <c r="A201" s="984"/>
      <c r="B201" s="633">
        <v>18</v>
      </c>
      <c r="C201" s="634">
        <f>IF(A181&lt;=$F$3,L175,0)</f>
        <v>0</v>
      </c>
      <c r="D201" s="598">
        <f>IF(A181&lt;=$F$3,M175,0)</f>
        <v>0</v>
      </c>
      <c r="E201" s="650">
        <f>IF(A181&lt;=$F$3,N175,0)</f>
        <v>0</v>
      </c>
      <c r="F201" s="634"/>
      <c r="G201" s="598"/>
      <c r="H201" s="598"/>
      <c r="I201" s="634"/>
      <c r="J201" s="598"/>
      <c r="K201" s="598"/>
      <c r="L201" s="634">
        <f>IF(A181&lt;=$F$3,C201+F201-I201,0)</f>
        <v>0</v>
      </c>
      <c r="M201" s="598">
        <f>IF(A181&lt;=$F$3,D201+G201-J201,0)</f>
        <v>0</v>
      </c>
      <c r="N201" s="598">
        <f>IF(A181&lt;=$F$3,E201+H201-K201,0)</f>
        <v>0</v>
      </c>
      <c r="O201" s="635">
        <f>IF(A181&lt;=$F$3,F201*Q201+G201*R201+H201*S201,0)</f>
        <v>0</v>
      </c>
      <c r="P201" s="636">
        <f>IF(A181&lt;=$F$3,I201*Q201+J201*R201+K201*S201,0)</f>
        <v>0</v>
      </c>
      <c r="Q201" s="637">
        <f t="shared" si="80"/>
        <v>52550.000000000044</v>
      </c>
      <c r="R201" s="638">
        <f t="shared" si="80"/>
        <v>81020.160000000062</v>
      </c>
      <c r="S201" s="639">
        <f t="shared" si="80"/>
        <v>84960.160000000062</v>
      </c>
      <c r="T201" s="637">
        <f t="shared" si="77"/>
        <v>0</v>
      </c>
      <c r="U201" s="640" t="e">
        <f>$AH$6*(1-AE$29)*((1+HLOOKUP($A$181,FC_Premissas!$D$5:$W$16,14,FALSE)^0.0833-1))*L201*12</f>
        <v>#REF!</v>
      </c>
      <c r="V201" s="638">
        <f t="shared" si="78"/>
        <v>0</v>
      </c>
      <c r="W201" s="669" t="e">
        <f>$AP$6*(1-AM$29)*((1+HLOOKUP($A$181,FC_Premissas!$D$5:$W$16,14,FALSE))^0.0833-1)*M201*12</f>
        <v>#REF!</v>
      </c>
      <c r="X201" s="637">
        <f t="shared" si="79"/>
        <v>0</v>
      </c>
      <c r="Y201" s="640" t="e">
        <f>$AX$6*(1-AU$29)*((1+HLOOKUP($A$181,FC_Premissas!$D$5:$W$16,14,FALSE))^0.0833-1)*N201*12</f>
        <v>#REF!</v>
      </c>
      <c r="Z201" s="638">
        <f t="shared" si="76"/>
        <v>0</v>
      </c>
      <c r="AA201" s="640" t="e">
        <f t="shared" si="76"/>
        <v>#REF!</v>
      </c>
      <c r="AB201" s="641"/>
    </row>
    <row r="202" spans="1:28" x14ac:dyDescent="0.2">
      <c r="A202" s="984"/>
      <c r="B202" s="633">
        <v>19</v>
      </c>
      <c r="C202" s="634">
        <f>IF(A181&lt;=$F$3,L176,0)</f>
        <v>0</v>
      </c>
      <c r="D202" s="598">
        <f>IF(A181&lt;=$F$3,M176,0)</f>
        <v>0</v>
      </c>
      <c r="E202" s="650">
        <f>IF(A181&lt;=$F$3,N176,0)</f>
        <v>0</v>
      </c>
      <c r="F202" s="634"/>
      <c r="G202" s="598"/>
      <c r="H202" s="598"/>
      <c r="I202" s="634"/>
      <c r="J202" s="598"/>
      <c r="K202" s="598"/>
      <c r="L202" s="634">
        <f>IF(A181&lt;=$F$3,C202+F202-I202,0)</f>
        <v>0</v>
      </c>
      <c r="M202" s="598">
        <f>IF(A181&lt;=$F$3,D202+G202-J202,0)</f>
        <v>0</v>
      </c>
      <c r="N202" s="598">
        <f>IF(A181&lt;=$F$3,E202+H202-K202,0)</f>
        <v>0</v>
      </c>
      <c r="O202" s="635">
        <f>IF(A181&lt;=$F$3,F202*Q202+G202*R202+H202*S202,0)</f>
        <v>0</v>
      </c>
      <c r="P202" s="636">
        <f>IF(A181&lt;=$F$3,I202*Q202+J202*R202+K202*S202,0)</f>
        <v>0</v>
      </c>
      <c r="Q202" s="637">
        <f t="shared" si="80"/>
        <v>52550.000000000044</v>
      </c>
      <c r="R202" s="638">
        <f t="shared" si="80"/>
        <v>81020.160000000062</v>
      </c>
      <c r="S202" s="639">
        <f t="shared" si="80"/>
        <v>84960.160000000062</v>
      </c>
      <c r="T202" s="637">
        <f t="shared" si="77"/>
        <v>0</v>
      </c>
      <c r="U202" s="640" t="e">
        <f>$AH$6*(1-AE$30)*((1+HLOOKUP($A$181,FC_Premissas!$D$5:$W$16,14,FALSE)^0.0833-1))*L202*12</f>
        <v>#REF!</v>
      </c>
      <c r="V202" s="638">
        <f t="shared" si="78"/>
        <v>0</v>
      </c>
      <c r="W202" s="669" t="e">
        <f>$AP$6*(1-AM$30)*((1+HLOOKUP($A$181,FC_Premissas!$D$5:$W$16,14,FALSE))^0.0833-1)*M202*12</f>
        <v>#REF!</v>
      </c>
      <c r="X202" s="637">
        <f t="shared" si="79"/>
        <v>0</v>
      </c>
      <c r="Y202" s="640" t="e">
        <f>$AX$6*(1-AU$30)*((1+HLOOKUP($A$181,FC_Premissas!$D$5:$W$16,14,FALSE))^0.0833-1)*N202*12</f>
        <v>#REF!</v>
      </c>
      <c r="Z202" s="638">
        <f t="shared" si="76"/>
        <v>0</v>
      </c>
      <c r="AA202" s="640" t="e">
        <f t="shared" si="76"/>
        <v>#REF!</v>
      </c>
      <c r="AB202" s="641"/>
    </row>
    <row r="203" spans="1:28" x14ac:dyDescent="0.2">
      <c r="A203" s="984"/>
      <c r="B203" s="633">
        <v>20</v>
      </c>
      <c r="C203" s="616">
        <f>IF(A181&lt;=$F$3,L177,0)</f>
        <v>0</v>
      </c>
      <c r="D203" s="617">
        <f>IF(A181&lt;=$F$3,M177,0)</f>
        <v>0</v>
      </c>
      <c r="E203" s="650">
        <f>IF(A181&lt;=$F$3,N177,0)</f>
        <v>0</v>
      </c>
      <c r="F203" s="616"/>
      <c r="G203" s="617"/>
      <c r="H203" s="598"/>
      <c r="I203" s="616"/>
      <c r="J203" s="617"/>
      <c r="K203" s="598"/>
      <c r="L203" s="616">
        <f>IF(A181&lt;=$F$3,C203+F203-I203,0)</f>
        <v>0</v>
      </c>
      <c r="M203" s="617">
        <f>IF(A181&lt;=$F$3,D203+G203-J203,0)</f>
        <v>0</v>
      </c>
      <c r="N203" s="598">
        <f>IF(A181&lt;=$F$3,E203+H203-K203,0)</f>
        <v>0</v>
      </c>
      <c r="O203" s="635">
        <f>IF(A181&lt;=$F$3,F203*Q203+G203*R203+H203*S203,0)</f>
        <v>0</v>
      </c>
      <c r="P203" s="636">
        <f>IF(A181&lt;=$F$3,I203*Q203+J203*R203+K203*S203,0)</f>
        <v>0</v>
      </c>
      <c r="Q203" s="651">
        <f t="shared" si="80"/>
        <v>52550.000000000044</v>
      </c>
      <c r="R203" s="652">
        <f t="shared" si="80"/>
        <v>81020.160000000062</v>
      </c>
      <c r="S203" s="653">
        <f t="shared" si="80"/>
        <v>84960.160000000062</v>
      </c>
      <c r="T203" s="651">
        <f t="shared" si="77"/>
        <v>0</v>
      </c>
      <c r="U203" s="654" t="e">
        <f>$AH$6*(1-AE$31)*((1+HLOOKUP($A$181,FC_Premissas!$D$5:$W$16,14,FALSE)^0.0833-1))*L203*12</f>
        <v>#REF!</v>
      </c>
      <c r="V203" s="652">
        <f t="shared" si="78"/>
        <v>0</v>
      </c>
      <c r="W203" s="678" t="e">
        <f>$AP$6*(1-AM$31)*((1+HLOOKUP($A$181,FC_Premissas!$D$5:$W$16,14,FALSE))^0.0833-1)*M203*12</f>
        <v>#REF!</v>
      </c>
      <c r="X203" s="651">
        <f t="shared" si="79"/>
        <v>0</v>
      </c>
      <c r="Y203" s="654" t="e">
        <f>$AX$6*(1-AU$31)*((1+HLOOKUP($A$181,FC_Premissas!$D$5:$W$16,14,FALSE))^0.0833-1)*N203*12</f>
        <v>#REF!</v>
      </c>
      <c r="Z203" s="652">
        <f t="shared" si="76"/>
        <v>0</v>
      </c>
      <c r="AA203" s="654" t="e">
        <f t="shared" si="76"/>
        <v>#REF!</v>
      </c>
      <c r="AB203" s="641"/>
    </row>
    <row r="204" spans="1:28" x14ac:dyDescent="0.2">
      <c r="A204" s="984"/>
      <c r="B204" s="655" t="s">
        <v>1228</v>
      </c>
      <c r="C204" s="656">
        <f t="shared" ref="C204:P204" si="81">SUM(C183:C203)</f>
        <v>0</v>
      </c>
      <c r="D204" s="657">
        <f t="shared" si="81"/>
        <v>0</v>
      </c>
      <c r="E204" s="658">
        <f t="shared" si="81"/>
        <v>11</v>
      </c>
      <c r="F204" s="656">
        <f t="shared" si="81"/>
        <v>0</v>
      </c>
      <c r="G204" s="657">
        <f t="shared" si="81"/>
        <v>0</v>
      </c>
      <c r="H204" s="658">
        <f t="shared" si="81"/>
        <v>2</v>
      </c>
      <c r="I204" s="656">
        <f t="shared" si="81"/>
        <v>0</v>
      </c>
      <c r="J204" s="657">
        <f t="shared" si="81"/>
        <v>0</v>
      </c>
      <c r="K204" s="658">
        <f t="shared" si="81"/>
        <v>2</v>
      </c>
      <c r="L204" s="656">
        <f t="shared" si="81"/>
        <v>0</v>
      </c>
      <c r="M204" s="657">
        <f t="shared" si="81"/>
        <v>0</v>
      </c>
      <c r="N204" s="657">
        <f t="shared" si="81"/>
        <v>11</v>
      </c>
      <c r="O204" s="659">
        <f t="shared" si="81"/>
        <v>528960.23272727279</v>
      </c>
      <c r="P204" s="660">
        <f t="shared" si="81"/>
        <v>169920.32000000012</v>
      </c>
      <c r="Q204" s="638"/>
      <c r="R204" s="638"/>
      <c r="S204" s="638"/>
      <c r="T204" s="661">
        <f t="shared" ref="T204:AA204" si="82">SUM(T183:T203)</f>
        <v>0</v>
      </c>
      <c r="U204" s="662" t="e">
        <f t="shared" si="82"/>
        <v>#REF!</v>
      </c>
      <c r="V204" s="663">
        <f t="shared" si="82"/>
        <v>0</v>
      </c>
      <c r="W204" s="662" t="e">
        <f t="shared" si="82"/>
        <v>#REF!</v>
      </c>
      <c r="X204" s="663">
        <f t="shared" si="82"/>
        <v>323135.92145454546</v>
      </c>
      <c r="Y204" s="662" t="e">
        <f t="shared" si="82"/>
        <v>#REF!</v>
      </c>
      <c r="Z204" s="663">
        <f t="shared" si="82"/>
        <v>323135.92145454546</v>
      </c>
      <c r="AA204" s="664" t="e">
        <f t="shared" si="82"/>
        <v>#REF!</v>
      </c>
      <c r="AB204" s="641"/>
    </row>
    <row r="205" spans="1:28" x14ac:dyDescent="0.2">
      <c r="A205" s="985"/>
      <c r="B205" s="977" t="s">
        <v>1229</v>
      </c>
      <c r="C205" s="977"/>
      <c r="D205" s="977"/>
      <c r="E205" s="666">
        <f>(L205*L204+M205*M204+N205*N204)/(L204+M204+N204)</f>
        <v>8</v>
      </c>
      <c r="F205" s="665" t="s">
        <v>140</v>
      </c>
      <c r="G205" s="665"/>
      <c r="H205" s="665"/>
      <c r="I205" s="665"/>
      <c r="J205" s="665"/>
      <c r="K205" s="665"/>
      <c r="L205" s="887">
        <f>IF(L204=0,0,(SUMPRODUCT(L183:L203,$B183:$B203)/L204))</f>
        <v>0</v>
      </c>
      <c r="M205" s="887">
        <f>IF(M204=0,0,(SUMPRODUCT(M183:M203,$B183:$B203)/M204))</f>
        <v>0</v>
      </c>
      <c r="N205" s="887">
        <f>IF(N204=0,0,ROUND(SUMPRODUCT(N183:N203,$B183:$B203)/N204,0))</f>
        <v>8</v>
      </c>
      <c r="O205" s="667"/>
      <c r="P205" s="668"/>
      <c r="Q205" s="638"/>
      <c r="R205" s="638"/>
      <c r="S205" s="638"/>
      <c r="T205" s="638"/>
      <c r="U205" s="669"/>
      <c r="V205" s="638"/>
      <c r="W205" s="669"/>
      <c r="X205" s="638"/>
      <c r="Y205" s="669"/>
      <c r="Z205" s="638"/>
      <c r="AA205" s="669"/>
    </row>
    <row r="206" spans="1:28" ht="12.75" customHeight="1" x14ac:dyDescent="0.2">
      <c r="A206" s="983">
        <f>A181+1</f>
        <v>9</v>
      </c>
      <c r="B206" s="986" t="s">
        <v>1077</v>
      </c>
      <c r="C206" s="988" t="s">
        <v>1202</v>
      </c>
      <c r="D206" s="989"/>
      <c r="E206" s="990"/>
      <c r="F206" s="991" t="s">
        <v>1203</v>
      </c>
      <c r="G206" s="992"/>
      <c r="H206" s="993"/>
      <c r="I206" s="991" t="s">
        <v>1204</v>
      </c>
      <c r="J206" s="992"/>
      <c r="K206" s="993"/>
      <c r="L206" s="991" t="s">
        <v>1205</v>
      </c>
      <c r="M206" s="992"/>
      <c r="N206" s="992"/>
      <c r="O206" s="978" t="s">
        <v>1206</v>
      </c>
      <c r="P206" s="979"/>
      <c r="Q206" s="980" t="s">
        <v>1207</v>
      </c>
      <c r="R206" s="981"/>
      <c r="S206" s="982"/>
      <c r="T206" s="607" t="s">
        <v>1208</v>
      </c>
      <c r="U206" s="609" t="s">
        <v>1209</v>
      </c>
      <c r="V206" s="608" t="s">
        <v>1210</v>
      </c>
      <c r="W206" s="610" t="s">
        <v>1211</v>
      </c>
      <c r="X206" s="607" t="s">
        <v>1210</v>
      </c>
      <c r="Y206" s="609" t="s">
        <v>1211</v>
      </c>
      <c r="Z206" s="607" t="s">
        <v>1210</v>
      </c>
      <c r="AA206" s="609" t="s">
        <v>1211</v>
      </c>
    </row>
    <row r="207" spans="1:28" x14ac:dyDescent="0.2">
      <c r="A207" s="984"/>
      <c r="B207" s="987"/>
      <c r="C207" s="616" t="str">
        <f>$C$7</f>
        <v>Mini</v>
      </c>
      <c r="D207" s="617" t="str">
        <f>$D$7</f>
        <v>Midi</v>
      </c>
      <c r="E207" s="617" t="str">
        <f>$E$7</f>
        <v>Básico</v>
      </c>
      <c r="F207" s="616" t="str">
        <f>$C$7</f>
        <v>Mini</v>
      </c>
      <c r="G207" s="617" t="str">
        <f>$D$7</f>
        <v>Midi</v>
      </c>
      <c r="H207" s="617" t="str">
        <f>$E$7</f>
        <v>Básico</v>
      </c>
      <c r="I207" s="616" t="str">
        <f>$C$7</f>
        <v>Mini</v>
      </c>
      <c r="J207" s="617" t="str">
        <f>$D$7</f>
        <v>Midi</v>
      </c>
      <c r="K207" s="617" t="str">
        <f>$E$7</f>
        <v>Básico</v>
      </c>
      <c r="L207" s="616" t="str">
        <f>$C$7</f>
        <v>Mini</v>
      </c>
      <c r="M207" s="617" t="str">
        <f>$D$7</f>
        <v>Midi</v>
      </c>
      <c r="N207" s="617" t="str">
        <f>$E$7</f>
        <v>Básico</v>
      </c>
      <c r="O207" s="667" t="s">
        <v>1203</v>
      </c>
      <c r="P207" s="668" t="s">
        <v>1204</v>
      </c>
      <c r="Q207" s="620" t="str">
        <f>C207</f>
        <v>Mini</v>
      </c>
      <c r="R207" s="621" t="str">
        <f>D207</f>
        <v>Midi</v>
      </c>
      <c r="S207" s="622" t="str">
        <f>E207</f>
        <v>Básico</v>
      </c>
      <c r="T207" s="623" t="str">
        <f>C207</f>
        <v>Mini</v>
      </c>
      <c r="U207" s="624" t="str">
        <f>C207</f>
        <v>Mini</v>
      </c>
      <c r="V207" s="625" t="str">
        <f>D207</f>
        <v>Midi</v>
      </c>
      <c r="W207" s="626" t="str">
        <f>D207</f>
        <v>Midi</v>
      </c>
      <c r="X207" s="623" t="str">
        <f>E207</f>
        <v>Básico</v>
      </c>
      <c r="Y207" s="624" t="str">
        <f>E207</f>
        <v>Básico</v>
      </c>
      <c r="Z207" s="627" t="s">
        <v>1218</v>
      </c>
      <c r="AA207" s="628" t="s">
        <v>1218</v>
      </c>
    </row>
    <row r="208" spans="1:28" x14ac:dyDescent="0.2">
      <c r="A208" s="984"/>
      <c r="B208" s="633">
        <v>0</v>
      </c>
      <c r="C208" s="634">
        <v>0</v>
      </c>
      <c r="F208" s="965"/>
      <c r="G208" s="966"/>
      <c r="H208" s="675"/>
      <c r="I208" s="598"/>
      <c r="J208" s="598"/>
      <c r="K208" s="676"/>
      <c r="L208" s="634">
        <f>IF(A206&lt;=$F$3,C208+F208-I208,0)</f>
        <v>0</v>
      </c>
      <c r="M208" s="598">
        <f>IF(A206&lt;=$F$3,D208+G208-J208,0)</f>
        <v>0</v>
      </c>
      <c r="N208" s="598">
        <f>IF(A206&lt;=$F$3,E208+H208-K208,0)</f>
        <v>0</v>
      </c>
      <c r="O208" s="635">
        <f>IF(A206&lt;=$F$3,F208*Q208+G208*R208+H208*S208,0)</f>
        <v>0</v>
      </c>
      <c r="P208" s="636">
        <f>IF(A206&lt;=$F$3,I208*Q208+J208*R208+K208*S208,0)</f>
        <v>0</v>
      </c>
      <c r="Q208" s="637">
        <f t="shared" ref="Q208:S223" si="83">Q183</f>
        <v>525500</v>
      </c>
      <c r="R208" s="638">
        <f t="shared" si="83"/>
        <v>703800</v>
      </c>
      <c r="S208" s="639">
        <f t="shared" si="83"/>
        <v>743200</v>
      </c>
      <c r="T208" s="637">
        <f>L208*$AH$6*AD$12</f>
        <v>0</v>
      </c>
      <c r="U208" s="640" t="e">
        <f>$AH$6*(1-AE$11)*((1+HLOOKUP($A$206,FC_Premissas!$D$5:$W$16,14,FALSE)^0.0833-1))*L208*12</f>
        <v>#REF!</v>
      </c>
      <c r="V208" s="638">
        <f>M208*$AP$6*AL$12</f>
        <v>0</v>
      </c>
      <c r="W208" s="669" t="e">
        <f>$AP$6*(1-AM$11)*((1+HLOOKUP($A$206,FC_Premissas!$D$5:$W$16,14,FALSE)^0.0833-1))*M208*12</f>
        <v>#REF!</v>
      </c>
      <c r="X208" s="637">
        <f>N208*$AX$6*AT$12</f>
        <v>0</v>
      </c>
      <c r="Y208" s="640" t="e">
        <f>$AX$6*(1-AU$11)*((1+HLOOKUP($A$206,FC_Premissas!$D$5:$W$16,14,FALSE)^0.0833-1))*N208*12</f>
        <v>#REF!</v>
      </c>
      <c r="Z208" s="638">
        <f t="shared" ref="Z208:AA228" si="84">T208+V208+X208</f>
        <v>0</v>
      </c>
      <c r="AA208" s="669" t="e">
        <f t="shared" si="84"/>
        <v>#REF!</v>
      </c>
      <c r="AB208" s="641"/>
    </row>
    <row r="209" spans="1:28" x14ac:dyDescent="0.2">
      <c r="A209" s="984"/>
      <c r="B209" s="633">
        <v>1</v>
      </c>
      <c r="C209" s="634">
        <f>IF(A206&lt;=$F$3,L183,0)</f>
        <v>0</v>
      </c>
      <c r="D209" s="598">
        <f>IF(A206&lt;=$F$3,M183,0)</f>
        <v>0</v>
      </c>
      <c r="E209" s="598">
        <f>IF(A206&lt;=$F$3,N183,0)</f>
        <v>0</v>
      </c>
      <c r="F209" s="634"/>
      <c r="G209" s="598"/>
      <c r="H209" s="677"/>
      <c r="I209" s="598"/>
      <c r="J209" s="598"/>
      <c r="K209" s="676"/>
      <c r="L209" s="634">
        <f>IF(A206&lt;=$F$3,C209+F209-I209,0)</f>
        <v>0</v>
      </c>
      <c r="M209" s="598">
        <f>IF(A206&lt;=$F$3,D209+G209-J209,0)</f>
        <v>0</v>
      </c>
      <c r="N209" s="598">
        <f>IF(A206&lt;=$F$3,E209+H209-K209,0)</f>
        <v>0</v>
      </c>
      <c r="O209" s="635">
        <f>IF(A206&lt;=$F$3,F209*Q209+G209*R209+H209*S209,0)</f>
        <v>0</v>
      </c>
      <c r="P209" s="636">
        <f>IF(A206&lt;=$F$3,I209*Q209+J209*R209+K209*S209,0)</f>
        <v>0</v>
      </c>
      <c r="Q209" s="637">
        <f t="shared" si="83"/>
        <v>439509.09090909094</v>
      </c>
      <c r="R209" s="638">
        <f t="shared" si="83"/>
        <v>590567.30181818188</v>
      </c>
      <c r="S209" s="639">
        <f t="shared" si="83"/>
        <v>623520.02909090917</v>
      </c>
      <c r="T209" s="637">
        <f>L209*$AH$6*AD$13</f>
        <v>0</v>
      </c>
      <c r="U209" s="640" t="e">
        <f>$AH$6*(1-AE$12)*((1+HLOOKUP($A$206,FC_Premissas!$D$5:$W$16,14,FALSE)^0.0833-1))*L209*12</f>
        <v>#REF!</v>
      </c>
      <c r="V209" s="638">
        <f>M209*$AP$6*AL$13</f>
        <v>0</v>
      </c>
      <c r="W209" s="669" t="e">
        <f>$AP$6*(1-AM$12)*((1+HLOOKUP($A$206,FC_Premissas!$D$5:$W$16,14,FALSE))^0.0833-1)*M209*12</f>
        <v>#REF!</v>
      </c>
      <c r="X209" s="637">
        <f>N209*$AX$6*AT$13</f>
        <v>0</v>
      </c>
      <c r="Y209" s="640" t="e">
        <f>$AX$6*(1-AU$12)*((1+HLOOKUP($A$206,FC_Premissas!$D$5:$W$16,14,FALSE))^0.0833-1)*N209*12</f>
        <v>#REF!</v>
      </c>
      <c r="Z209" s="638">
        <f t="shared" si="84"/>
        <v>0</v>
      </c>
      <c r="AA209" s="669" t="e">
        <f t="shared" si="84"/>
        <v>#REF!</v>
      </c>
      <c r="AB209" s="641"/>
    </row>
    <row r="210" spans="1:28" x14ac:dyDescent="0.2">
      <c r="A210" s="984"/>
      <c r="B210" s="633">
        <v>2</v>
      </c>
      <c r="C210" s="634">
        <f>IF(A206&lt;=$F$3,L184,0)</f>
        <v>0</v>
      </c>
      <c r="D210" s="598">
        <f>IF(A206&lt;=$F$3,M184,0)</f>
        <v>0</v>
      </c>
      <c r="E210" s="598">
        <f>IF(A206&lt;=$F$3,N184,0)</f>
        <v>0</v>
      </c>
      <c r="F210" s="634"/>
      <c r="G210" s="598"/>
      <c r="H210" s="677"/>
      <c r="I210" s="598"/>
      <c r="J210" s="598"/>
      <c r="K210" s="676"/>
      <c r="L210" s="634">
        <f>IF(A206&lt;=$F$3,C210+F210-I210,0)</f>
        <v>0</v>
      </c>
      <c r="M210" s="598">
        <f>IF(A206&lt;=$F$3,D210+G210-J210,0)</f>
        <v>0</v>
      </c>
      <c r="N210" s="598">
        <f>IF(A206&lt;=$F$3,E210+H210-K210,0)</f>
        <v>0</v>
      </c>
      <c r="O210" s="635">
        <f>IF(A206&lt;=$F$3,F210*Q210+G210*R210+H210*S210,0)</f>
        <v>0</v>
      </c>
      <c r="P210" s="636">
        <f>IF(A206&lt;=$F$3,I210*Q210+J210*R210+K210*S210,0)</f>
        <v>0</v>
      </c>
      <c r="Q210" s="637">
        <f t="shared" si="83"/>
        <v>362117.27272727271</v>
      </c>
      <c r="R210" s="638">
        <f t="shared" si="83"/>
        <v>488657.87345454545</v>
      </c>
      <c r="S210" s="639">
        <f t="shared" si="83"/>
        <v>515808.05527272727</v>
      </c>
      <c r="T210" s="637">
        <f>L210*$AH$6*AD$14</f>
        <v>0</v>
      </c>
      <c r="U210" s="640" t="e">
        <f>$AH$6*(1-AE$13)*((1+HLOOKUP($A$206,FC_Premissas!$D$5:$W$16,14,FALSE)^0.0833-1))*L210*12</f>
        <v>#REF!</v>
      </c>
      <c r="V210" s="638">
        <f>M210*$AP$6*AL$14</f>
        <v>0</v>
      </c>
      <c r="W210" s="669" t="e">
        <f>$AP$6*(1-AM$13)*((1+HLOOKUP($A$206,FC_Premissas!$D$5:$W$16,14,FALSE))^0.0833-1)*M210*12</f>
        <v>#REF!</v>
      </c>
      <c r="X210" s="637">
        <f>N210*$AX$6*AT$14</f>
        <v>0</v>
      </c>
      <c r="Y210" s="640" t="e">
        <f>$AX$6*(1-AU$13)*((1+HLOOKUP($A$206,FC_Premissas!$D$5:$W$16,14,FALSE))^0.0833-1)*N210*12</f>
        <v>#REF!</v>
      </c>
      <c r="Z210" s="638">
        <f t="shared" si="84"/>
        <v>0</v>
      </c>
      <c r="AA210" s="669" t="e">
        <f t="shared" si="84"/>
        <v>#REF!</v>
      </c>
      <c r="AB210" s="641"/>
    </row>
    <row r="211" spans="1:28" x14ac:dyDescent="0.2">
      <c r="A211" s="984"/>
      <c r="B211" s="633">
        <v>3</v>
      </c>
      <c r="C211" s="634">
        <f>IF(A206&lt;=$F$3,L185,0)</f>
        <v>0</v>
      </c>
      <c r="D211" s="598">
        <f>IF(A206&lt;=$F$3,M185,0)</f>
        <v>0</v>
      </c>
      <c r="E211" s="598">
        <f>IF(A206&lt;=$F$3,N185,0)</f>
        <v>0</v>
      </c>
      <c r="F211" s="634"/>
      <c r="G211" s="598"/>
      <c r="H211" s="677"/>
      <c r="I211" s="598"/>
      <c r="J211" s="598"/>
      <c r="K211" s="676"/>
      <c r="L211" s="634">
        <f>IF(A206&lt;=$F$3,C211+F211-I211,0)</f>
        <v>0</v>
      </c>
      <c r="M211" s="598">
        <f>IF(A206&lt;=$F$3,D211+G211-J211,0)</f>
        <v>0</v>
      </c>
      <c r="N211" s="598">
        <f>IF(A206&lt;=$F$3,E211+H211-K211,0)</f>
        <v>0</v>
      </c>
      <c r="O211" s="635">
        <f>IF(A206&lt;=$F$3,F211*Q211+G211*R211+H211*S211,0)</f>
        <v>0</v>
      </c>
      <c r="P211" s="636">
        <f>IF(A206&lt;=$F$3,I211*Q211+J211*R211+K211*S211,0)</f>
        <v>0</v>
      </c>
      <c r="Q211" s="637">
        <f t="shared" si="83"/>
        <v>293324.54545454541</v>
      </c>
      <c r="R211" s="638">
        <f t="shared" si="83"/>
        <v>398071.71490909089</v>
      </c>
      <c r="S211" s="639">
        <f t="shared" si="83"/>
        <v>420064.07854545448</v>
      </c>
      <c r="T211" s="637">
        <f>L211*$AH$6*AD$15</f>
        <v>0</v>
      </c>
      <c r="U211" s="640" t="e">
        <f>$AH$6*(1-AE$14)*((1+HLOOKUP($A$206,FC_Premissas!$D$5:$W$16,14,FALSE)^0.0833-1))*L211*12</f>
        <v>#REF!</v>
      </c>
      <c r="V211" s="638">
        <f>M211*$AP$6*AL$15</f>
        <v>0</v>
      </c>
      <c r="W211" s="669" t="e">
        <f>$AP$6*(1-AM$14)*((1+HLOOKUP($A$206,FC_Premissas!$D$5:$W$16,14,FALSE))^0.0833-1)*M211*12</f>
        <v>#REF!</v>
      </c>
      <c r="X211" s="637">
        <f>N211*$AX$6*AT$15</f>
        <v>0</v>
      </c>
      <c r="Y211" s="640" t="e">
        <f>$AX$6*(1-AU$14)*((1+HLOOKUP($A$206,FC_Premissas!$D$5:$W$16,14,FALSE))^0.0833-1)*N211*12</f>
        <v>#REF!</v>
      </c>
      <c r="Z211" s="638">
        <f t="shared" si="84"/>
        <v>0</v>
      </c>
      <c r="AA211" s="669" t="e">
        <f t="shared" si="84"/>
        <v>#REF!</v>
      </c>
      <c r="AB211" s="641"/>
    </row>
    <row r="212" spans="1:28" x14ac:dyDescent="0.2">
      <c r="A212" s="984"/>
      <c r="B212" s="633">
        <v>4</v>
      </c>
      <c r="C212" s="634">
        <f>IF(A206&lt;=$F$3,L186,0)</f>
        <v>0</v>
      </c>
      <c r="D212" s="598">
        <f>IF(A206&lt;=$F$3,M186,0)</f>
        <v>0</v>
      </c>
      <c r="E212" s="598">
        <f>IF(A206&lt;=$F$3,N186,0)</f>
        <v>0</v>
      </c>
      <c r="F212" s="634"/>
      <c r="G212" s="598"/>
      <c r="H212" s="677"/>
      <c r="I212" s="598"/>
      <c r="J212" s="598"/>
      <c r="K212" s="676"/>
      <c r="L212" s="634">
        <f>IF(A206&lt;=$F$3,C212+F212-I212,0)</f>
        <v>0</v>
      </c>
      <c r="M212" s="598">
        <f>IF(A206&lt;=$F$3,D212+G212-J212,0)</f>
        <v>0</v>
      </c>
      <c r="N212" s="598">
        <f>IF(A206&lt;=$F$3,E212+H212-K212,0)</f>
        <v>0</v>
      </c>
      <c r="O212" s="635">
        <f>IF(A206&lt;=$F$3,F212*Q212+G212*R212+H212*S212,0)</f>
        <v>0</v>
      </c>
      <c r="P212" s="636">
        <f>IF(A206&lt;=$F$3,I212*Q212+J212*R212+K212*S212,0)</f>
        <v>0</v>
      </c>
      <c r="Q212" s="637">
        <f t="shared" si="83"/>
        <v>233130.90909090909</v>
      </c>
      <c r="R212" s="638">
        <f t="shared" si="83"/>
        <v>318808.82618181815</v>
      </c>
      <c r="S212" s="639">
        <f t="shared" si="83"/>
        <v>336288.09890909091</v>
      </c>
      <c r="T212" s="637">
        <f>L212*$AH$6*AD$16</f>
        <v>0</v>
      </c>
      <c r="U212" s="640" t="e">
        <f>$AH$6*(1-AE$15)*((1+HLOOKUP($A$206,FC_Premissas!$D$5:$W$16,14,FALSE)^0.0833-1))*L212*12</f>
        <v>#REF!</v>
      </c>
      <c r="V212" s="638">
        <f>M212*$AP$6*AL$16</f>
        <v>0</v>
      </c>
      <c r="W212" s="669" t="e">
        <f>$AP$6*(1-AM$15)*((1+HLOOKUP($A$206,FC_Premissas!$D$5:$W$16,14,FALSE))^0.0833-1)*M212*12</f>
        <v>#REF!</v>
      </c>
      <c r="X212" s="637">
        <f>N212*$AX$6*AT$16</f>
        <v>0</v>
      </c>
      <c r="Y212" s="640" t="e">
        <f>$AX$6*(1-AU$15)*((1+HLOOKUP($A$206,FC_Premissas!$D$5:$W$16,14,FALSE))^0.0833-1)*N212*12</f>
        <v>#REF!</v>
      </c>
      <c r="Z212" s="638">
        <f t="shared" si="84"/>
        <v>0</v>
      </c>
      <c r="AA212" s="669" t="e">
        <f t="shared" si="84"/>
        <v>#REF!</v>
      </c>
      <c r="AB212" s="641"/>
    </row>
    <row r="213" spans="1:28" x14ac:dyDescent="0.2">
      <c r="A213" s="984"/>
      <c r="B213" s="633">
        <v>5</v>
      </c>
      <c r="C213" s="634">
        <f>IF(A206&lt;=$F$3,L187,0)</f>
        <v>0</v>
      </c>
      <c r="D213" s="598">
        <f>IF(A206&lt;=$F$3,M187,0)</f>
        <v>0</v>
      </c>
      <c r="E213" s="598">
        <f>IF(A206&lt;=$F$3,N187,0)</f>
        <v>0</v>
      </c>
      <c r="F213" s="634"/>
      <c r="G213" s="598"/>
      <c r="H213" s="677">
        <v>2</v>
      </c>
      <c r="I213" s="598"/>
      <c r="J213" s="598"/>
      <c r="K213" s="676"/>
      <c r="L213" s="634">
        <f>IF(A206&lt;=$F$3,C213+F213-I213,0)</f>
        <v>0</v>
      </c>
      <c r="M213" s="598">
        <f>IF(A206&lt;=$F$3,D213+G213-J213,0)</f>
        <v>0</v>
      </c>
      <c r="N213" s="598">
        <f>IF(A206&lt;=$F$3,E213+H213-K213,0)</f>
        <v>2</v>
      </c>
      <c r="O213" s="635">
        <f>IF(A206&lt;=$F$3,F213*Q213+G213*R213+H213*S213,0)</f>
        <v>528960.23272727279</v>
      </c>
      <c r="P213" s="636">
        <f>IF(A206&lt;=$F$3,I213*Q213+J213*R213+K213*S213,0)</f>
        <v>0</v>
      </c>
      <c r="Q213" s="637">
        <f t="shared" si="83"/>
        <v>181536.36363636365</v>
      </c>
      <c r="R213" s="638">
        <f t="shared" si="83"/>
        <v>250869.20727272728</v>
      </c>
      <c r="S213" s="639">
        <f t="shared" si="83"/>
        <v>264480.11636363639</v>
      </c>
      <c r="T213" s="637">
        <f>L213*$AH$6*AD$17</f>
        <v>0</v>
      </c>
      <c r="U213" s="640" t="e">
        <f>$AH$6*(1-AE$16)*((1+HLOOKUP($A$206,FC_Premissas!$D$5:$W$16,14,FALSE)^0.0833-1))*L213*12</f>
        <v>#REF!</v>
      </c>
      <c r="V213" s="638">
        <f>M213*$AP$6*AL$17</f>
        <v>0</v>
      </c>
      <c r="W213" s="669" t="e">
        <f>$AP$6*(1-AM$16)*((1+HLOOKUP($A$206,FC_Premissas!$D$5:$W$16,14,FALSE))^0.0833-1)*M213*12</f>
        <v>#REF!</v>
      </c>
      <c r="X213" s="637">
        <f>N213*$AX$6*AT$17</f>
        <v>119679.9709090909</v>
      </c>
      <c r="Y213" s="640" t="e">
        <f>$AX$6*(1-AU$16)*((1+HLOOKUP($A$206,FC_Premissas!$D$5:$W$16,14,FALSE))^0.0833-1)*N213*12</f>
        <v>#REF!</v>
      </c>
      <c r="Z213" s="638">
        <f t="shared" si="84"/>
        <v>119679.9709090909</v>
      </c>
      <c r="AA213" s="669" t="e">
        <f t="shared" si="84"/>
        <v>#REF!</v>
      </c>
      <c r="AB213" s="641"/>
    </row>
    <row r="214" spans="1:28" x14ac:dyDescent="0.2">
      <c r="A214" s="984"/>
      <c r="B214" s="633">
        <v>6</v>
      </c>
      <c r="C214" s="634">
        <f>IF(A206&lt;=$F$3,L188,0)</f>
        <v>0</v>
      </c>
      <c r="D214" s="598">
        <f>IF(A206&lt;=$F$3,M188,0)</f>
        <v>0</v>
      </c>
      <c r="E214" s="598">
        <f>IF(A206&lt;=$F$3,N188,0)</f>
        <v>2</v>
      </c>
      <c r="F214" s="634"/>
      <c r="G214" s="598"/>
      <c r="H214" s="650"/>
      <c r="I214" s="598"/>
      <c r="J214" s="598"/>
      <c r="K214" s="676"/>
      <c r="L214" s="634">
        <f>IF(A206&lt;=$F$3,C214+F214-I214,0)</f>
        <v>0</v>
      </c>
      <c r="M214" s="598">
        <f>IF(A206&lt;=$F$3,D214+G214-J214,0)</f>
        <v>0</v>
      </c>
      <c r="N214" s="598">
        <f>IF(A206&lt;=$F$3,E214+H214-K214,0)</f>
        <v>2</v>
      </c>
      <c r="O214" s="635">
        <f>IF(A206&lt;=$F$3,F214*Q214+G214*R214+H214*S214,0)</f>
        <v>0</v>
      </c>
      <c r="P214" s="636">
        <f>IF(A206&lt;=$F$3,I214*Q214+J214*R214+K214*S214,0)</f>
        <v>0</v>
      </c>
      <c r="Q214" s="637">
        <f t="shared" si="83"/>
        <v>138540.90909090912</v>
      </c>
      <c r="R214" s="638">
        <f t="shared" si="83"/>
        <v>194252.85818181818</v>
      </c>
      <c r="S214" s="639">
        <f t="shared" si="83"/>
        <v>204640.13090909092</v>
      </c>
      <c r="T214" s="637">
        <f>L214*$AH$6*AD$18</f>
        <v>0</v>
      </c>
      <c r="U214" s="640" t="e">
        <f>$AH$6*(1-AE$17)*((1+HLOOKUP($A$206,FC_Premissas!$D$5:$W$16,14,FALSE)^0.0833-1))*L214*12</f>
        <v>#REF!</v>
      </c>
      <c r="V214" s="638">
        <f>M214*$AP$6*AL$18</f>
        <v>0</v>
      </c>
      <c r="W214" s="669" t="e">
        <f>$AP$6*(1-AM$17)*((1+HLOOKUP($A$206,FC_Premissas!$D$5:$W$16,14,FALSE))^0.0833-1)*M214*12</f>
        <v>#REF!</v>
      </c>
      <c r="X214" s="637">
        <f>N214*$AX$6*AT$18</f>
        <v>95743.976727272733</v>
      </c>
      <c r="Y214" s="640" t="e">
        <f>$AX$6*(1-AU$17)*((1+HLOOKUP($A$206,FC_Premissas!$D$5:$W$16,14,FALSE))^0.0833-1)*N214*12</f>
        <v>#REF!</v>
      </c>
      <c r="Z214" s="638">
        <f t="shared" si="84"/>
        <v>95743.976727272733</v>
      </c>
      <c r="AA214" s="669" t="e">
        <f t="shared" si="84"/>
        <v>#REF!</v>
      </c>
      <c r="AB214" s="641"/>
    </row>
    <row r="215" spans="1:28" x14ac:dyDescent="0.2">
      <c r="A215" s="984"/>
      <c r="B215" s="633">
        <v>7</v>
      </c>
      <c r="C215" s="634">
        <f>IF(A206&lt;=$F$3,L189,0)</f>
        <v>0</v>
      </c>
      <c r="D215" s="598">
        <f>IF(A206&lt;=$F$3,M189,0)</f>
        <v>0</v>
      </c>
      <c r="E215" s="598">
        <f>IF(A206&lt;=$F$3,N189,0)</f>
        <v>2</v>
      </c>
      <c r="F215" s="634"/>
      <c r="G215" s="598"/>
      <c r="H215" s="650"/>
      <c r="I215" s="598"/>
      <c r="J215" s="598"/>
      <c r="K215" s="676"/>
      <c r="L215" s="634">
        <f>IF(A206&lt;=$F$3,C215+F215-I215,0)</f>
        <v>0</v>
      </c>
      <c r="M215" s="598">
        <f>IF(A206&lt;=$F$3,D215+G215-J215,0)</f>
        <v>0</v>
      </c>
      <c r="N215" s="598">
        <f>IF(A206&lt;=$F$3,E215+H215-K215,0)</f>
        <v>2</v>
      </c>
      <c r="O215" s="635">
        <f>IF(A206&lt;=$F$3,F215*Q215+G215*R215+H215*S215,0)</f>
        <v>0</v>
      </c>
      <c r="P215" s="636">
        <f>IF(A206&lt;=$F$3,I215*Q215+J215*R215+K215*S215,0)</f>
        <v>0</v>
      </c>
      <c r="Q215" s="637">
        <f t="shared" si="83"/>
        <v>104144.54545454548</v>
      </c>
      <c r="R215" s="638">
        <f t="shared" si="83"/>
        <v>148959.77890909094</v>
      </c>
      <c r="S215" s="639">
        <f t="shared" si="83"/>
        <v>156768.14254545458</v>
      </c>
      <c r="T215" s="637">
        <f>L215*$AH$6*AD$19</f>
        <v>0</v>
      </c>
      <c r="U215" s="640" t="e">
        <f>$AH$6*(1-AE$18)*((1+HLOOKUP($A$206,FC_Premissas!$D$5:$W$16,14,FALSE)^0.0833-1))*L215*12</f>
        <v>#REF!</v>
      </c>
      <c r="V215" s="638">
        <f>M215*$AP$6*AL$19</f>
        <v>0</v>
      </c>
      <c r="W215" s="669" t="e">
        <f>$AP$6*(1-AM$18)*((1+HLOOKUP($A$206,FC_Premissas!$D$5:$W$16,14,FALSE))^0.0833-1)*M215*12</f>
        <v>#REF!</v>
      </c>
      <c r="X215" s="637">
        <f>N215*$AX$6*AT$19</f>
        <v>71807.98254545455</v>
      </c>
      <c r="Y215" s="640" t="e">
        <f>$AX$6*(1-AU$18)*((1+HLOOKUP($A$206,FC_Premissas!$D$5:$W$16,14,FALSE))^0.0833-1)*N215*12</f>
        <v>#REF!</v>
      </c>
      <c r="Z215" s="638">
        <f t="shared" si="84"/>
        <v>71807.98254545455</v>
      </c>
      <c r="AA215" s="669" t="e">
        <f t="shared" si="84"/>
        <v>#REF!</v>
      </c>
      <c r="AB215" s="641"/>
    </row>
    <row r="216" spans="1:28" x14ac:dyDescent="0.2">
      <c r="A216" s="984"/>
      <c r="B216" s="633">
        <v>8</v>
      </c>
      <c r="C216" s="634">
        <f>IF(A206&lt;=$F$3,L190,0)</f>
        <v>0</v>
      </c>
      <c r="D216" s="598">
        <f>IF(A206&lt;=$F$3,M190,0)</f>
        <v>0</v>
      </c>
      <c r="E216" s="598">
        <f>IF(A206&lt;=$F$3,N190,0)</f>
        <v>1</v>
      </c>
      <c r="F216" s="634"/>
      <c r="G216" s="598"/>
      <c r="H216" s="650"/>
      <c r="I216" s="598"/>
      <c r="J216" s="598"/>
      <c r="K216" s="676"/>
      <c r="L216" s="634">
        <f>IF(A206&lt;=$F$3,C216+F216-I216,0)</f>
        <v>0</v>
      </c>
      <c r="M216" s="598">
        <f>IF(A206&lt;=$F$3,D216+G216-J216,0)</f>
        <v>0</v>
      </c>
      <c r="N216" s="598">
        <f>IF(A206&lt;=$F$3,E216+H216-K216,0)</f>
        <v>1</v>
      </c>
      <c r="O216" s="635">
        <f>IF(A206&lt;=$F$3,F216*Q216+G216*R216+H216*S216,0)</f>
        <v>0</v>
      </c>
      <c r="P216" s="636">
        <f>IF(A206&lt;=$F$3,I216*Q216+J216*R216+K216*S216,0)</f>
        <v>0</v>
      </c>
      <c r="Q216" s="637">
        <f t="shared" si="83"/>
        <v>78347.272727272764</v>
      </c>
      <c r="R216" s="638">
        <f t="shared" si="83"/>
        <v>114989.9694545455</v>
      </c>
      <c r="S216" s="639">
        <f t="shared" si="83"/>
        <v>120864.15127272732</v>
      </c>
      <c r="T216" s="637">
        <f>L216*$AH$6*AD$20</f>
        <v>0</v>
      </c>
      <c r="U216" s="640" t="e">
        <f>$AH$6*(1-AE$19)*((1+HLOOKUP($A$206,FC_Premissas!$D$5:$W$16,14,FALSE)^0.0833-1))*L216*12</f>
        <v>#REF!</v>
      </c>
      <c r="V216" s="638">
        <f>M216*$AP$6*AL$20</f>
        <v>0</v>
      </c>
      <c r="W216" s="669" t="e">
        <f>$AP$6*(1-AM$19)*((1+HLOOKUP($A$206,FC_Premissas!$D$5:$W$16,14,FALSE))^0.0833-1)*M216*12</f>
        <v>#REF!</v>
      </c>
      <c r="X216" s="637">
        <f>N216*$AX$6*AT$20</f>
        <v>23935.994181818183</v>
      </c>
      <c r="Y216" s="640" t="e">
        <f>$AX$6*(1-AU$19)*((1+HLOOKUP($A$206,FC_Premissas!$D$5:$W$16,14,FALSE))^0.0833-1)*N216*12</f>
        <v>#REF!</v>
      </c>
      <c r="Z216" s="638">
        <f t="shared" si="84"/>
        <v>23935.994181818183</v>
      </c>
      <c r="AA216" s="669" t="e">
        <f t="shared" si="84"/>
        <v>#REF!</v>
      </c>
      <c r="AB216" s="641"/>
    </row>
    <row r="217" spans="1:28" x14ac:dyDescent="0.2">
      <c r="A217" s="984"/>
      <c r="B217" s="633">
        <v>9</v>
      </c>
      <c r="C217" s="634">
        <f>IF(A206&lt;=$F$3,L191,0)</f>
        <v>0</v>
      </c>
      <c r="D217" s="598">
        <f>IF(A206&lt;=$F$3,M191,0)</f>
        <v>0</v>
      </c>
      <c r="E217" s="598">
        <f>IF(A206&lt;=$F$3,N191,0)</f>
        <v>3</v>
      </c>
      <c r="F217" s="634"/>
      <c r="G217" s="598"/>
      <c r="H217" s="650"/>
      <c r="I217" s="598"/>
      <c r="J217" s="598"/>
      <c r="K217" s="676"/>
      <c r="L217" s="634">
        <f>IF(A206&lt;=$F$3,C217+F217-I217,0)</f>
        <v>0</v>
      </c>
      <c r="M217" s="598">
        <f>IF(A206&lt;=$F$3,D217+G217-J217,0)</f>
        <v>0</v>
      </c>
      <c r="N217" s="598">
        <f>IF(A206&lt;=$F$3,E217+H217-K217,0)</f>
        <v>3</v>
      </c>
      <c r="O217" s="635">
        <f>IF(A206&lt;=$F$3,F217*Q217+G217*R217+H217*S217,0)</f>
        <v>0</v>
      </c>
      <c r="P217" s="636">
        <f>IF(A206&lt;=$F$3,I217*Q217+J217*R217+K217*S217,0)</f>
        <v>0</v>
      </c>
      <c r="Q217" s="637">
        <f t="shared" si="83"/>
        <v>61149.090909090955</v>
      </c>
      <c r="R217" s="638">
        <f t="shared" si="83"/>
        <v>92343.429818181874</v>
      </c>
      <c r="S217" s="639">
        <f t="shared" si="83"/>
        <v>96928.157090909139</v>
      </c>
      <c r="T217" s="637">
        <f>L217*$AH$6*AD$21</f>
        <v>0</v>
      </c>
      <c r="U217" s="640" t="e">
        <f>$AH$6*(1-AE$20)*((1+HLOOKUP($A$206,FC_Premissas!$D$5:$W$16,14,FALSE)^0.0833-1))*L217*12</f>
        <v>#REF!</v>
      </c>
      <c r="V217" s="638">
        <f>M217*$AP$6*AL$21</f>
        <v>0</v>
      </c>
      <c r="W217" s="669" t="e">
        <f>$AP$6*(1-AM$20)*((1+HLOOKUP($A$206,FC_Premissas!$D$5:$W$16,14,FALSE))^0.0833-1)*M217*12</f>
        <v>#REF!</v>
      </c>
      <c r="X217" s="637">
        <f>N217*$AX$6*AT$21</f>
        <v>35903.991272727275</v>
      </c>
      <c r="Y217" s="640" t="e">
        <f>$AX$6*(1-AU$20)*((1+HLOOKUP($A$206,FC_Premissas!$D$5:$W$16,14,FALSE))^0.0833-1)*N217*12</f>
        <v>#REF!</v>
      </c>
      <c r="Z217" s="638">
        <f t="shared" si="84"/>
        <v>35903.991272727275</v>
      </c>
      <c r="AA217" s="669" t="e">
        <f t="shared" si="84"/>
        <v>#REF!</v>
      </c>
      <c r="AB217" s="641"/>
    </row>
    <row r="218" spans="1:28" x14ac:dyDescent="0.2">
      <c r="A218" s="984"/>
      <c r="B218" s="633">
        <v>10</v>
      </c>
      <c r="C218" s="634">
        <f>IF(A206&lt;=$F$3,L192,0)</f>
        <v>0</v>
      </c>
      <c r="D218" s="598">
        <f>IF(A206&lt;=$F$3,M192,0)</f>
        <v>0</v>
      </c>
      <c r="E218" s="598">
        <f>IF(A206&lt;=$F$3,N192,0)</f>
        <v>0</v>
      </c>
      <c r="F218" s="634"/>
      <c r="G218" s="598"/>
      <c r="H218" s="650"/>
      <c r="I218" s="598"/>
      <c r="J218" s="598"/>
      <c r="K218" s="676"/>
      <c r="L218" s="634">
        <f>IF(A206&lt;=$F$3,C218+F218-I218,0)</f>
        <v>0</v>
      </c>
      <c r="M218" s="598">
        <f>IF(A206&lt;=$F$3,D218+G218-J218,0)</f>
        <v>0</v>
      </c>
      <c r="N218" s="598">
        <f>IF(A206&lt;=$F$3,E218+H218-K218,0)</f>
        <v>0</v>
      </c>
      <c r="O218" s="635">
        <f>IF(A206&lt;=$F$3,F218*Q218+G218*R218+H218*S218,0)</f>
        <v>0</v>
      </c>
      <c r="P218" s="636">
        <f>IF(A206&lt;=$F$3,I218*Q218+J218*R218+K218*S218,0)</f>
        <v>0</v>
      </c>
      <c r="Q218" s="637">
        <f t="shared" si="83"/>
        <v>52550.000000000044</v>
      </c>
      <c r="R218" s="638">
        <f t="shared" si="83"/>
        <v>81020.160000000062</v>
      </c>
      <c r="S218" s="639">
        <f t="shared" si="83"/>
        <v>84960.160000000062</v>
      </c>
      <c r="T218" s="637">
        <f>L218*$AH$6*AD$22</f>
        <v>0</v>
      </c>
      <c r="U218" s="640" t="e">
        <f>$AH$6*(1-AE$21)*((1+HLOOKUP($A$206,FC_Premissas!$D$5:$W$16,14,FALSE)^0.0833-1))*L218*12</f>
        <v>#REF!</v>
      </c>
      <c r="V218" s="638">
        <f>M218*$AP$6*AL$22</f>
        <v>0</v>
      </c>
      <c r="W218" s="669" t="e">
        <f>$AP$6*(1-AM$21)*((1+HLOOKUP($A$206,FC_Premissas!$D$5:$W$16,14,FALSE))^0.0833-1)*M218*12</f>
        <v>#REF!</v>
      </c>
      <c r="X218" s="637">
        <f>N218*$AX$6*AT$22</f>
        <v>0</v>
      </c>
      <c r="Y218" s="640" t="e">
        <f>$AX$6*(1-AU$21)*((1+HLOOKUP($A$206,FC_Premissas!$D$5:$W$16,14,FALSE))^0.0833-1)*N218*12</f>
        <v>#REF!</v>
      </c>
      <c r="Z218" s="638">
        <f t="shared" si="84"/>
        <v>0</v>
      </c>
      <c r="AA218" s="669" t="e">
        <f t="shared" si="84"/>
        <v>#REF!</v>
      </c>
      <c r="AB218" s="641"/>
    </row>
    <row r="219" spans="1:28" x14ac:dyDescent="0.2">
      <c r="A219" s="984"/>
      <c r="B219" s="633">
        <v>11</v>
      </c>
      <c r="C219" s="634">
        <f>IF(A206&lt;=$F$3,L193,0)</f>
        <v>0</v>
      </c>
      <c r="D219" s="598">
        <f>IF(A206&lt;=$F$3,M193,0)</f>
        <v>0</v>
      </c>
      <c r="E219" s="598">
        <f>IF(A206&lt;=$F$3,N193,0)</f>
        <v>3</v>
      </c>
      <c r="F219" s="634"/>
      <c r="G219" s="598"/>
      <c r="H219" s="650"/>
      <c r="I219" s="598"/>
      <c r="J219" s="598"/>
      <c r="K219" s="676">
        <v>2</v>
      </c>
      <c r="L219" s="634">
        <f>IF(A206&lt;=$F$3,C219+F219-I219,0)</f>
        <v>0</v>
      </c>
      <c r="M219" s="598">
        <f>IF(A206&lt;=$F$3,D219+G219-J219,0)</f>
        <v>0</v>
      </c>
      <c r="N219" s="598">
        <f>IF(A206&lt;=$F$3,E219+H219-K219,0)</f>
        <v>1</v>
      </c>
      <c r="O219" s="635">
        <f>IF(A206&lt;=$F$3,F219*Q219+G219*R219+H219*S219,0)</f>
        <v>0</v>
      </c>
      <c r="P219" s="636">
        <f>IF(A206&lt;=$F$3,I219*Q219+J219*R219+K219*S219,0)</f>
        <v>169920.32000000012</v>
      </c>
      <c r="Q219" s="637">
        <f t="shared" si="83"/>
        <v>52550.000000000044</v>
      </c>
      <c r="R219" s="638">
        <f t="shared" si="83"/>
        <v>81020.160000000062</v>
      </c>
      <c r="S219" s="639">
        <f t="shared" si="83"/>
        <v>84960.160000000062</v>
      </c>
      <c r="T219" s="637">
        <f>L219*$AH$6*AD$23</f>
        <v>0</v>
      </c>
      <c r="U219" s="640" t="e">
        <f>$AH$6*(1-AE$22)*((1+HLOOKUP($A$206,FC_Premissas!$D$5:$W$16,14,FALSE)^0.0833-1))*L219*12</f>
        <v>#REF!</v>
      </c>
      <c r="V219" s="638">
        <f>M219*$AP$6*AL$23</f>
        <v>0</v>
      </c>
      <c r="W219" s="669" t="e">
        <f>$AP$6*(1-AM$22)*((1+HLOOKUP($A$206,FC_Premissas!$D$5:$W$16,14,FALSE))^0.0833-1)*M219*12</f>
        <v>#REF!</v>
      </c>
      <c r="X219" s="637">
        <f>N219*$AX$6*AT$23</f>
        <v>0</v>
      </c>
      <c r="Y219" s="640" t="e">
        <f>$AX$6*(1-AU$22)*((1+HLOOKUP($A$206,FC_Premissas!$D$5:$W$16,14,FALSE))^0.0833-1)*N219*12</f>
        <v>#REF!</v>
      </c>
      <c r="Z219" s="638">
        <f t="shared" si="84"/>
        <v>0</v>
      </c>
      <c r="AA219" s="669" t="e">
        <f t="shared" si="84"/>
        <v>#REF!</v>
      </c>
      <c r="AB219" s="641"/>
    </row>
    <row r="220" spans="1:28" x14ac:dyDescent="0.2">
      <c r="A220" s="984"/>
      <c r="B220" s="633">
        <v>12</v>
      </c>
      <c r="C220" s="634">
        <f>IF(A206&lt;=$F$3,L194,0)</f>
        <v>0</v>
      </c>
      <c r="D220" s="598">
        <f>IF(A206&lt;=$F$3,M194,0)</f>
        <v>0</v>
      </c>
      <c r="E220" s="598">
        <f>IF(A206&lt;=$F$3,N194,0)</f>
        <v>0</v>
      </c>
      <c r="F220" s="634"/>
      <c r="G220" s="598"/>
      <c r="H220" s="650"/>
      <c r="I220" s="598"/>
      <c r="J220" s="598"/>
      <c r="K220" s="676"/>
      <c r="L220" s="634">
        <f>IF(A206&lt;=$F$3,C220+F220-I220,0)</f>
        <v>0</v>
      </c>
      <c r="M220" s="598">
        <f>IF(A206&lt;=$F$3,D220+G220-J220,0)</f>
        <v>0</v>
      </c>
      <c r="N220" s="598">
        <f>IF(A206&lt;=$F$3,E220+H220-K220,0)</f>
        <v>0</v>
      </c>
      <c r="O220" s="635">
        <f>IF(A206&lt;=$F$3,F220*Q220+G220*R220+H220*S220,0)</f>
        <v>0</v>
      </c>
      <c r="P220" s="636">
        <f>IF(A206&lt;=$F$3,I220*Q220+J220*R220+K220*S220,0)</f>
        <v>0</v>
      </c>
      <c r="Q220" s="637">
        <f t="shared" si="83"/>
        <v>52550.000000000044</v>
      </c>
      <c r="R220" s="638">
        <f t="shared" si="83"/>
        <v>81020.160000000062</v>
      </c>
      <c r="S220" s="639">
        <f t="shared" si="83"/>
        <v>84960.160000000062</v>
      </c>
      <c r="T220" s="637">
        <f>L220*$AH$6*AD$24</f>
        <v>0</v>
      </c>
      <c r="U220" s="640" t="e">
        <f>$AH$6*(1-AE$23)*((1+HLOOKUP($A$206,FC_Premissas!$D$5:$W$16,14,FALSE)^0.0833-1))*L220*12</f>
        <v>#REF!</v>
      </c>
      <c r="V220" s="638">
        <f>M220*$AP$6*AL$24</f>
        <v>0</v>
      </c>
      <c r="W220" s="669" t="e">
        <f>$AP$6*(1-AM$23)*((1+HLOOKUP($A$206,FC_Premissas!$D$5:$W$16,14,FALSE))^0.0833-1)*M220*12</f>
        <v>#REF!</v>
      </c>
      <c r="X220" s="637">
        <f>N220*$AX$6*AT$24</f>
        <v>0</v>
      </c>
      <c r="Y220" s="640" t="e">
        <f>$AX$6*(1-AU$23)*((1+HLOOKUP($A$206,FC_Premissas!$D$5:$W$16,14,FALSE))^0.0833-1)*N220*12</f>
        <v>#REF!</v>
      </c>
      <c r="Z220" s="638">
        <f t="shared" si="84"/>
        <v>0</v>
      </c>
      <c r="AA220" s="669" t="e">
        <f t="shared" si="84"/>
        <v>#REF!</v>
      </c>
      <c r="AB220" s="641"/>
    </row>
    <row r="221" spans="1:28" ht="11.25" customHeight="1" x14ac:dyDescent="0.2">
      <c r="A221" s="984"/>
      <c r="B221" s="633">
        <v>13</v>
      </c>
      <c r="C221" s="634">
        <f>IF(A206&lt;=$F$3,L195,0)</f>
        <v>0</v>
      </c>
      <c r="D221" s="598">
        <f>IF(A206&lt;=$F$3,M195,0)</f>
        <v>0</v>
      </c>
      <c r="E221" s="650">
        <f>IF(A206&lt;=$F$3,N195,0)</f>
        <v>0</v>
      </c>
      <c r="F221" s="634"/>
      <c r="G221" s="598"/>
      <c r="H221" s="598"/>
      <c r="I221" s="634"/>
      <c r="J221" s="598"/>
      <c r="K221" s="676"/>
      <c r="L221" s="634">
        <f>IF(A206&lt;=$F$3,C221+F221-I221,0)</f>
        <v>0</v>
      </c>
      <c r="M221" s="598">
        <f>IF(A206&lt;=$F$3,D221+G221-J221,0)</f>
        <v>0</v>
      </c>
      <c r="N221" s="598">
        <f>IF(A206&lt;=$F$3,E221+H221-K221,0)</f>
        <v>0</v>
      </c>
      <c r="O221" s="635">
        <f>IF(A206&lt;=$F$3,F221*Q221+G221*R221+H221*S221,0)</f>
        <v>0</v>
      </c>
      <c r="P221" s="636">
        <f>IF(A206&lt;=$F$3,I221*Q221+J221*R221+K221*S221,0)</f>
        <v>0</v>
      </c>
      <c r="Q221" s="637">
        <f t="shared" si="83"/>
        <v>52550.000000000044</v>
      </c>
      <c r="R221" s="638">
        <f t="shared" si="83"/>
        <v>81020.160000000062</v>
      </c>
      <c r="S221" s="639">
        <f t="shared" si="83"/>
        <v>84960.160000000062</v>
      </c>
      <c r="T221" s="637">
        <f>L221*$AH$6*AD$25</f>
        <v>0</v>
      </c>
      <c r="U221" s="640" t="e">
        <f>$AH$6*(1-AE$24)*((1+HLOOKUP($A$206,FC_Premissas!$D$5:$W$16,14,FALSE)^0.0833-1))*L221*12</f>
        <v>#REF!</v>
      </c>
      <c r="V221" s="638">
        <f>M221*$AP$6*AL$25</f>
        <v>0</v>
      </c>
      <c r="W221" s="669" t="e">
        <f>$AP$6*(1-AM$24)*((1+HLOOKUP($A$206,FC_Premissas!$D$5:$W$16,14,FALSE))^0.0833-1)*M221*12</f>
        <v>#REF!</v>
      </c>
      <c r="X221" s="637">
        <f>N221*$AX$6*AT$25</f>
        <v>0</v>
      </c>
      <c r="Y221" s="640" t="e">
        <f>$AX$6*(1-AU$24)*((1+HLOOKUP($A$206,FC_Premissas!$D$5:$W$16,14,FALSE))^0.0833-1)*N221*12</f>
        <v>#REF!</v>
      </c>
      <c r="Z221" s="638">
        <f t="shared" si="84"/>
        <v>0</v>
      </c>
      <c r="AA221" s="669" t="e">
        <f t="shared" si="84"/>
        <v>#REF!</v>
      </c>
      <c r="AB221" s="641"/>
    </row>
    <row r="222" spans="1:28" ht="11.25" customHeight="1" x14ac:dyDescent="0.2">
      <c r="A222" s="984"/>
      <c r="B222" s="633">
        <v>14</v>
      </c>
      <c r="C222" s="634">
        <f>IF(A206&lt;=$F$3,L196,0)</f>
        <v>0</v>
      </c>
      <c r="D222" s="598">
        <f>IF(A206&lt;=$F$3,M196,0)</f>
        <v>0</v>
      </c>
      <c r="E222" s="650">
        <f>IF(A206&lt;=$F$3,N196,0)</f>
        <v>0</v>
      </c>
      <c r="F222" s="634"/>
      <c r="G222" s="598"/>
      <c r="H222" s="598"/>
      <c r="I222" s="634"/>
      <c r="J222" s="598"/>
      <c r="K222" s="598"/>
      <c r="L222" s="634">
        <f>IF(A206&lt;=$F$3,C222+F222-I222,0)</f>
        <v>0</v>
      </c>
      <c r="M222" s="598">
        <f>IF(A206&lt;=$F$3,D222+G222-J222,0)</f>
        <v>0</v>
      </c>
      <c r="N222" s="598">
        <f>IF(A206&lt;=$F$3,E222+H222-K222,0)</f>
        <v>0</v>
      </c>
      <c r="O222" s="635">
        <f>IF(A206&lt;=$F$3,F222*Q222+G222*R222+H222*S222,0)</f>
        <v>0</v>
      </c>
      <c r="P222" s="636">
        <f>IF(A206&lt;=$F$3,I222*Q222+J222*R222+K222*S222,0)</f>
        <v>0</v>
      </c>
      <c r="Q222" s="637">
        <f t="shared" si="83"/>
        <v>52550.000000000044</v>
      </c>
      <c r="R222" s="638">
        <f t="shared" si="83"/>
        <v>81020.160000000062</v>
      </c>
      <c r="S222" s="639">
        <f t="shared" si="83"/>
        <v>84960.160000000062</v>
      </c>
      <c r="T222" s="637">
        <f>L222*$AH$6*AD$26</f>
        <v>0</v>
      </c>
      <c r="U222" s="640" t="e">
        <f>$AH$6*(1-AE$25)*((1+HLOOKUP($A$206,FC_Premissas!$D$5:$W$16,14,FALSE)^0.0833-1))*L222*12</f>
        <v>#REF!</v>
      </c>
      <c r="V222" s="638">
        <f>M222*$AP$6*AL$26</f>
        <v>0</v>
      </c>
      <c r="W222" s="669" t="e">
        <f>$AP$6*(1-AM$25)*((1+HLOOKUP($A$206,FC_Premissas!$D$5:$W$16,14,FALSE))^0.0833-1)*M222*12</f>
        <v>#REF!</v>
      </c>
      <c r="X222" s="637">
        <f>N222*$AX$6*AT$26</f>
        <v>0</v>
      </c>
      <c r="Y222" s="640" t="e">
        <f>$AX$6*(1-AU$25)*((1+HLOOKUP($A$206,FC_Premissas!$D$5:$W$16,14,FALSE))^0.0833-1)*N222*12</f>
        <v>#REF!</v>
      </c>
      <c r="Z222" s="638">
        <f t="shared" si="84"/>
        <v>0</v>
      </c>
      <c r="AA222" s="669" t="e">
        <f t="shared" si="84"/>
        <v>#REF!</v>
      </c>
      <c r="AB222" s="641"/>
    </row>
    <row r="223" spans="1:28" ht="11.25" customHeight="1" x14ac:dyDescent="0.2">
      <c r="A223" s="984"/>
      <c r="B223" s="633">
        <v>15</v>
      </c>
      <c r="C223" s="634">
        <f>IF(A206&lt;=$F$3,L197,0)</f>
        <v>0</v>
      </c>
      <c r="D223" s="598">
        <f>IF(A206&lt;=$F$3,M197,0)</f>
        <v>0</v>
      </c>
      <c r="E223" s="650">
        <f>IF(A206&lt;=$F$3,N197,0)</f>
        <v>0</v>
      </c>
      <c r="F223" s="634"/>
      <c r="G223" s="598"/>
      <c r="H223" s="598"/>
      <c r="I223" s="634"/>
      <c r="J223" s="598"/>
      <c r="K223" s="598"/>
      <c r="L223" s="634">
        <f>IF(A206&lt;=$F$3,C223+F223-I223,0)</f>
        <v>0</v>
      </c>
      <c r="M223" s="598">
        <f>IF(A206&lt;=$F$3,D223+G223-J223,0)</f>
        <v>0</v>
      </c>
      <c r="N223" s="598">
        <f>IF(A206&lt;=$F$3,E223+H223-K223,0)</f>
        <v>0</v>
      </c>
      <c r="O223" s="635">
        <f>IF(A206&lt;=$F$3,F223*Q223+G223*R223+H223*S223,0)</f>
        <v>0</v>
      </c>
      <c r="P223" s="636">
        <f>IF(A206&lt;=$F$3,I223*Q223+J223*R223+K223*S223,0)</f>
        <v>0</v>
      </c>
      <c r="Q223" s="637">
        <f t="shared" si="83"/>
        <v>52550.000000000044</v>
      </c>
      <c r="R223" s="638">
        <f t="shared" si="83"/>
        <v>81020.160000000062</v>
      </c>
      <c r="S223" s="639">
        <f t="shared" si="83"/>
        <v>84960.160000000062</v>
      </c>
      <c r="T223" s="637">
        <f t="shared" ref="T223:T228" si="85">L223*$AH$6*AD$27</f>
        <v>0</v>
      </c>
      <c r="U223" s="640" t="e">
        <f>$AH$6*(1-AE$26)*((1+HLOOKUP($A$206,FC_Premissas!$D$5:$W$16,14,FALSE)^0.0833-1))*L223*12</f>
        <v>#REF!</v>
      </c>
      <c r="V223" s="638">
        <f t="shared" ref="V223:V228" si="86">M223*$AP$6*AL$27</f>
        <v>0</v>
      </c>
      <c r="W223" s="669" t="e">
        <f>$AP$6*(1-AM$26)*((1+HLOOKUP($A$206,FC_Premissas!$D$5:$W$16,14,FALSE))^0.0833-1)*M223*12</f>
        <v>#REF!</v>
      </c>
      <c r="X223" s="637">
        <f t="shared" ref="X223:X228" si="87">N223*$AX$6*AT$27</f>
        <v>0</v>
      </c>
      <c r="Y223" s="640" t="e">
        <f>$AX$6*(1-AU$26)*((1+HLOOKUP($A$206,FC_Premissas!$D$5:$W$16,14,FALSE))^0.0833-1)*N223*12</f>
        <v>#REF!</v>
      </c>
      <c r="Z223" s="638">
        <f t="shared" si="84"/>
        <v>0</v>
      </c>
      <c r="AA223" s="640" t="e">
        <f t="shared" si="84"/>
        <v>#REF!</v>
      </c>
      <c r="AB223" s="641"/>
    </row>
    <row r="224" spans="1:28" x14ac:dyDescent="0.2">
      <c r="A224" s="984"/>
      <c r="B224" s="633">
        <v>16</v>
      </c>
      <c r="C224" s="634">
        <f>IF(A206&lt;=$F$3,L198,0)</f>
        <v>0</v>
      </c>
      <c r="D224" s="598">
        <f>IF(A206&lt;=$F$3,M198,0)</f>
        <v>0</v>
      </c>
      <c r="E224" s="650">
        <f>IF(A206&lt;=$F$3,N198,0)</f>
        <v>0</v>
      </c>
      <c r="F224" s="634"/>
      <c r="G224" s="598"/>
      <c r="H224" s="598"/>
      <c r="I224" s="634"/>
      <c r="J224" s="598"/>
      <c r="K224" s="598"/>
      <c r="L224" s="634">
        <f>IF(A206&lt;=$F$3,C224+F224-I224,0)</f>
        <v>0</v>
      </c>
      <c r="M224" s="598">
        <f>IF(A206&lt;=$F$3,D224+G224-J224,0)</f>
        <v>0</v>
      </c>
      <c r="N224" s="598">
        <f>IF(A206&lt;=$F$3,E224+H224-K224,0)</f>
        <v>0</v>
      </c>
      <c r="O224" s="635">
        <f>IF(A206&lt;=$F$3,F224*Q224+G224*R224+H224*S224,0)</f>
        <v>0</v>
      </c>
      <c r="P224" s="636">
        <f>IF(A206&lt;=$F$3,I224*Q224+J224*R224+K224*S224,0)</f>
        <v>0</v>
      </c>
      <c r="Q224" s="637">
        <f t="shared" ref="Q224:S228" si="88">Q199</f>
        <v>52550.000000000044</v>
      </c>
      <c r="R224" s="638">
        <f t="shared" si="88"/>
        <v>81020.160000000062</v>
      </c>
      <c r="S224" s="639">
        <f t="shared" si="88"/>
        <v>84960.160000000062</v>
      </c>
      <c r="T224" s="637">
        <f t="shared" si="85"/>
        <v>0</v>
      </c>
      <c r="U224" s="640" t="e">
        <f>$AH$6*(1-AE$27)*((1+HLOOKUP($A$206,FC_Premissas!$D$5:$W$16,14,FALSE)^0.0833-1))*L224*12</f>
        <v>#REF!</v>
      </c>
      <c r="V224" s="638">
        <f t="shared" si="86"/>
        <v>0</v>
      </c>
      <c r="W224" s="669" t="e">
        <f>$AP$6*(1-AM$27)*((1+HLOOKUP($A$206,FC_Premissas!$D$5:$W$16,14,FALSE))^0.0833-1)*M224*12</f>
        <v>#REF!</v>
      </c>
      <c r="X224" s="637">
        <f t="shared" si="87"/>
        <v>0</v>
      </c>
      <c r="Y224" s="640" t="e">
        <f>$AX$6*(1-AU$27)*((1+HLOOKUP($A$206,FC_Premissas!$D$5:$W$16,14,FALSE))^0.0833-1)*N224*12</f>
        <v>#REF!</v>
      </c>
      <c r="Z224" s="638">
        <f t="shared" si="84"/>
        <v>0</v>
      </c>
      <c r="AA224" s="640" t="e">
        <f t="shared" si="84"/>
        <v>#REF!</v>
      </c>
      <c r="AB224" s="641"/>
    </row>
    <row r="225" spans="1:28" x14ac:dyDescent="0.2">
      <c r="A225" s="984"/>
      <c r="B225" s="633">
        <v>17</v>
      </c>
      <c r="C225" s="634">
        <f>IF(A206&lt;=$F$3,L199,0)</f>
        <v>0</v>
      </c>
      <c r="D225" s="598">
        <f>IF(A206&lt;=$F$3,M199,0)</f>
        <v>0</v>
      </c>
      <c r="E225" s="650">
        <f>IF(A206&lt;=$F$3,N199,0)</f>
        <v>0</v>
      </c>
      <c r="F225" s="634"/>
      <c r="G225" s="598"/>
      <c r="H225" s="598"/>
      <c r="I225" s="634"/>
      <c r="J225" s="598"/>
      <c r="K225" s="598"/>
      <c r="L225" s="634">
        <f>IF(A206&lt;=$F$3,C225+F225-I225,0)</f>
        <v>0</v>
      </c>
      <c r="M225" s="598">
        <f>IF(A206&lt;=$F$3,D225+G225-J225,0)</f>
        <v>0</v>
      </c>
      <c r="N225" s="598">
        <f>IF(A206&lt;=$F$3,E225+H225-K225,0)</f>
        <v>0</v>
      </c>
      <c r="O225" s="635">
        <f>IF(A206&lt;=$F$3,F225*Q225+G225*R225+H225*S225,0)</f>
        <v>0</v>
      </c>
      <c r="P225" s="636">
        <f>IF(A206&lt;=$F$3,I225*Q225+J225*R225+K225*S225,0)</f>
        <v>0</v>
      </c>
      <c r="Q225" s="637">
        <f t="shared" si="88"/>
        <v>52550.000000000044</v>
      </c>
      <c r="R225" s="638">
        <f t="shared" si="88"/>
        <v>81020.160000000062</v>
      </c>
      <c r="S225" s="639">
        <f t="shared" si="88"/>
        <v>84960.160000000062</v>
      </c>
      <c r="T225" s="637">
        <f t="shared" si="85"/>
        <v>0</v>
      </c>
      <c r="U225" s="640" t="e">
        <f>$AH$6*(1-AE$28)*((1+HLOOKUP($A$206,FC_Premissas!$D$5:$W$16,14,FALSE)^0.0833-1))*L225*12</f>
        <v>#REF!</v>
      </c>
      <c r="V225" s="638">
        <f t="shared" si="86"/>
        <v>0</v>
      </c>
      <c r="W225" s="669" t="e">
        <f>$AP$6*(1-AM$28)*((1+HLOOKUP($A$206,FC_Premissas!$D$5:$W$16,14,FALSE))^0.0833-1)*M225*12</f>
        <v>#REF!</v>
      </c>
      <c r="X225" s="637">
        <f t="shared" si="87"/>
        <v>0</v>
      </c>
      <c r="Y225" s="640" t="e">
        <f>$AX$6*(1-AU$28)*((1+HLOOKUP($A$206,FC_Premissas!$D$5:$W$16,14,FALSE))^0.0833-1)*N225*12</f>
        <v>#REF!</v>
      </c>
      <c r="Z225" s="638">
        <f t="shared" si="84"/>
        <v>0</v>
      </c>
      <c r="AA225" s="640" t="e">
        <f t="shared" si="84"/>
        <v>#REF!</v>
      </c>
      <c r="AB225" s="641"/>
    </row>
    <row r="226" spans="1:28" x14ac:dyDescent="0.2">
      <c r="A226" s="984"/>
      <c r="B226" s="633">
        <v>18</v>
      </c>
      <c r="C226" s="634">
        <f>IF(A206&lt;=$F$3,L200,0)</f>
        <v>0</v>
      </c>
      <c r="D226" s="598">
        <f>IF(A206&lt;=$F$3,M200,0)</f>
        <v>0</v>
      </c>
      <c r="E226" s="650">
        <f>IF(A206&lt;=$F$3,N200,0)</f>
        <v>0</v>
      </c>
      <c r="F226" s="634"/>
      <c r="G226" s="598"/>
      <c r="H226" s="598"/>
      <c r="I226" s="634"/>
      <c r="J226" s="598"/>
      <c r="K226" s="598"/>
      <c r="L226" s="634">
        <f>IF(A206&lt;=$F$3,C226+F226-I226,0)</f>
        <v>0</v>
      </c>
      <c r="M226" s="598">
        <f>IF(A206&lt;=$F$3,D226+G226-J226,0)</f>
        <v>0</v>
      </c>
      <c r="N226" s="598">
        <f>IF(A206&lt;=$F$3,E226+H226-K226,0)</f>
        <v>0</v>
      </c>
      <c r="O226" s="635">
        <f>IF(A206&lt;=$F$3,F226*Q226+G226*R226+H226*S226,0)</f>
        <v>0</v>
      </c>
      <c r="P226" s="636">
        <f>IF(A206&lt;=$F$3,I226*Q226+J226*R226+K226*S226,0)</f>
        <v>0</v>
      </c>
      <c r="Q226" s="637">
        <f t="shared" si="88"/>
        <v>52550.000000000044</v>
      </c>
      <c r="R226" s="638">
        <f t="shared" si="88"/>
        <v>81020.160000000062</v>
      </c>
      <c r="S226" s="639">
        <f t="shared" si="88"/>
        <v>84960.160000000062</v>
      </c>
      <c r="T226" s="637">
        <f t="shared" si="85"/>
        <v>0</v>
      </c>
      <c r="U226" s="640" t="e">
        <f>$AH$6*(1-AE$29)*((1+HLOOKUP($A$206,FC_Premissas!$D$5:$W$16,14,FALSE)^0.0833-1))*L226*12</f>
        <v>#REF!</v>
      </c>
      <c r="V226" s="638">
        <f t="shared" si="86"/>
        <v>0</v>
      </c>
      <c r="W226" s="669" t="e">
        <f>$AP$6*(1-AM$29)*((1+HLOOKUP($A$206,FC_Premissas!$D$5:$W$16,14,FALSE))^0.0833-1)*M226*12</f>
        <v>#REF!</v>
      </c>
      <c r="X226" s="637">
        <f t="shared" si="87"/>
        <v>0</v>
      </c>
      <c r="Y226" s="640" t="e">
        <f>$AX$6*(1-AU$29)*((1+HLOOKUP($A$206,FC_Premissas!$D$5:$W$16,14,FALSE))^0.0833-1)*N226*12</f>
        <v>#REF!</v>
      </c>
      <c r="Z226" s="638">
        <f t="shared" si="84"/>
        <v>0</v>
      </c>
      <c r="AA226" s="640" t="e">
        <f t="shared" si="84"/>
        <v>#REF!</v>
      </c>
      <c r="AB226" s="641"/>
    </row>
    <row r="227" spans="1:28" x14ac:dyDescent="0.2">
      <c r="A227" s="984"/>
      <c r="B227" s="633">
        <v>19</v>
      </c>
      <c r="C227" s="634">
        <f>IF(A206&lt;=$F$3,L201,0)</f>
        <v>0</v>
      </c>
      <c r="D227" s="598">
        <f>IF(A206&lt;=$F$3,M201,0)</f>
        <v>0</v>
      </c>
      <c r="E227" s="650">
        <f>IF(A206&lt;=$F$3,N201,0)</f>
        <v>0</v>
      </c>
      <c r="F227" s="634"/>
      <c r="G227" s="598"/>
      <c r="H227" s="598"/>
      <c r="I227" s="634"/>
      <c r="J227" s="598"/>
      <c r="K227" s="598"/>
      <c r="L227" s="634">
        <f>IF(A206&lt;=$F$3,C227+F227-I227,0)</f>
        <v>0</v>
      </c>
      <c r="M227" s="598">
        <f>IF(A206&lt;=$F$3,D227+G227-J227,0)</f>
        <v>0</v>
      </c>
      <c r="N227" s="598">
        <f>IF(A206&lt;=$F$3,E227+H227-K227,0)</f>
        <v>0</v>
      </c>
      <c r="O227" s="635">
        <f>IF(A206&lt;=$F$3,F227*Q227+G227*R227+H227*S227,0)</f>
        <v>0</v>
      </c>
      <c r="P227" s="636">
        <f>IF(A206&lt;=$F$3,I227*Q227+J227*R227+K227*S227,0)</f>
        <v>0</v>
      </c>
      <c r="Q227" s="637">
        <f t="shared" si="88"/>
        <v>52550.000000000044</v>
      </c>
      <c r="R227" s="638">
        <f t="shared" si="88"/>
        <v>81020.160000000062</v>
      </c>
      <c r="S227" s="639">
        <f t="shared" si="88"/>
        <v>84960.160000000062</v>
      </c>
      <c r="T227" s="637">
        <f t="shared" si="85"/>
        <v>0</v>
      </c>
      <c r="U227" s="640" t="e">
        <f>$AH$6*(1-AE$30)*((1+HLOOKUP($A$206,FC_Premissas!$D$5:$W$16,14,FALSE)^0.0833-1))*L227*12</f>
        <v>#REF!</v>
      </c>
      <c r="V227" s="638">
        <f t="shared" si="86"/>
        <v>0</v>
      </c>
      <c r="W227" s="669" t="e">
        <f>$AP$6*(1-AM$30)*((1+HLOOKUP($A$206,FC_Premissas!$D$5:$W$16,14,FALSE))^0.0833-1)*M227*12</f>
        <v>#REF!</v>
      </c>
      <c r="X227" s="637">
        <f t="shared" si="87"/>
        <v>0</v>
      </c>
      <c r="Y227" s="640" t="e">
        <f>$AX$6*(1-AU$30)*((1+HLOOKUP($A$206,FC_Premissas!$D$5:$W$16,14,FALSE))^0.0833-1)*N227*12</f>
        <v>#REF!</v>
      </c>
      <c r="Z227" s="638">
        <f t="shared" si="84"/>
        <v>0</v>
      </c>
      <c r="AA227" s="640" t="e">
        <f t="shared" si="84"/>
        <v>#REF!</v>
      </c>
      <c r="AB227" s="641"/>
    </row>
    <row r="228" spans="1:28" x14ac:dyDescent="0.2">
      <c r="A228" s="984"/>
      <c r="B228" s="633">
        <v>20</v>
      </c>
      <c r="C228" s="616">
        <f>IF(A206&lt;=$F$3,L202,0)</f>
        <v>0</v>
      </c>
      <c r="D228" s="617">
        <f>IF(A206&lt;=$F$3,M202,0)</f>
        <v>0</v>
      </c>
      <c r="E228" s="650">
        <f>IF(A206&lt;=$F$3,N202,0)</f>
        <v>0</v>
      </c>
      <c r="F228" s="616"/>
      <c r="G228" s="617"/>
      <c r="H228" s="598"/>
      <c r="I228" s="616"/>
      <c r="J228" s="617"/>
      <c r="K228" s="598"/>
      <c r="L228" s="616">
        <f>IF(A206&lt;=$F$3,C228+F228-I228,0)</f>
        <v>0</v>
      </c>
      <c r="M228" s="617">
        <f>IF(A206&lt;=$F$3,D228+G228-J228,0)</f>
        <v>0</v>
      </c>
      <c r="N228" s="598">
        <f>IF(A206&lt;=$F$3,E228+H228-K228,0)</f>
        <v>0</v>
      </c>
      <c r="O228" s="635">
        <f>IF(A206&lt;=$F$3,F228*Q228+G228*R228+H228*S228,0)</f>
        <v>0</v>
      </c>
      <c r="P228" s="636">
        <f>IF(A206&lt;=$F$3,I228*Q228+J228*R228+K228*S228,0)</f>
        <v>0</v>
      </c>
      <c r="Q228" s="651">
        <f t="shared" si="88"/>
        <v>52550.000000000044</v>
      </c>
      <c r="R228" s="652">
        <f t="shared" si="88"/>
        <v>81020.160000000062</v>
      </c>
      <c r="S228" s="653">
        <f t="shared" si="88"/>
        <v>84960.160000000062</v>
      </c>
      <c r="T228" s="651">
        <f t="shared" si="85"/>
        <v>0</v>
      </c>
      <c r="U228" s="654" t="e">
        <f>$AH$6*(1-AE$31)*((1+HLOOKUP($A$206,FC_Premissas!$D$5:$W$16,14,FALSE)^0.0833-1))*L228*12</f>
        <v>#REF!</v>
      </c>
      <c r="V228" s="652">
        <f t="shared" si="86"/>
        <v>0</v>
      </c>
      <c r="W228" s="678" t="e">
        <f>$AP$6*(1-AM$31)*((1+HLOOKUP($A$206,FC_Premissas!$D$5:$W$16,14,FALSE))^0.0833-1)*M228*12</f>
        <v>#REF!</v>
      </c>
      <c r="X228" s="651">
        <f t="shared" si="87"/>
        <v>0</v>
      </c>
      <c r="Y228" s="654" t="e">
        <f>$AX$6*(1-AU$31)*((1+HLOOKUP($A$206,FC_Premissas!$D$5:$W$16,14,FALSE))^0.0833-1)*N228*12</f>
        <v>#REF!</v>
      </c>
      <c r="Z228" s="652">
        <f t="shared" si="84"/>
        <v>0</v>
      </c>
      <c r="AA228" s="654" t="e">
        <f t="shared" si="84"/>
        <v>#REF!</v>
      </c>
      <c r="AB228" s="641"/>
    </row>
    <row r="229" spans="1:28" x14ac:dyDescent="0.2">
      <c r="A229" s="984"/>
      <c r="B229" s="655" t="s">
        <v>1228</v>
      </c>
      <c r="C229" s="656">
        <f t="shared" ref="C229:P229" si="89">SUM(C208:C228)</f>
        <v>0</v>
      </c>
      <c r="D229" s="657">
        <f t="shared" si="89"/>
        <v>0</v>
      </c>
      <c r="E229" s="658">
        <f t="shared" si="89"/>
        <v>11</v>
      </c>
      <c r="F229" s="656">
        <f t="shared" si="89"/>
        <v>0</v>
      </c>
      <c r="G229" s="657">
        <f t="shared" si="89"/>
        <v>0</v>
      </c>
      <c r="H229" s="658">
        <f t="shared" si="89"/>
        <v>2</v>
      </c>
      <c r="I229" s="656">
        <f t="shared" si="89"/>
        <v>0</v>
      </c>
      <c r="J229" s="657">
        <f t="shared" si="89"/>
        <v>0</v>
      </c>
      <c r="K229" s="658">
        <f t="shared" si="89"/>
        <v>2</v>
      </c>
      <c r="L229" s="656">
        <f t="shared" si="89"/>
        <v>0</v>
      </c>
      <c r="M229" s="657">
        <f t="shared" si="89"/>
        <v>0</v>
      </c>
      <c r="N229" s="657">
        <f t="shared" si="89"/>
        <v>11</v>
      </c>
      <c r="O229" s="659">
        <f t="shared" si="89"/>
        <v>528960.23272727279</v>
      </c>
      <c r="P229" s="660">
        <f t="shared" si="89"/>
        <v>169920.32000000012</v>
      </c>
      <c r="Q229" s="638"/>
      <c r="R229" s="638"/>
      <c r="S229" s="638"/>
      <c r="T229" s="661">
        <f t="shared" ref="T229:AA229" si="90">SUM(T208:T228)</f>
        <v>0</v>
      </c>
      <c r="U229" s="662" t="e">
        <f t="shared" si="90"/>
        <v>#REF!</v>
      </c>
      <c r="V229" s="663">
        <f t="shared" si="90"/>
        <v>0</v>
      </c>
      <c r="W229" s="662" t="e">
        <f t="shared" si="90"/>
        <v>#REF!</v>
      </c>
      <c r="X229" s="663">
        <f t="shared" si="90"/>
        <v>347071.91563636367</v>
      </c>
      <c r="Y229" s="662" t="e">
        <f t="shared" si="90"/>
        <v>#REF!</v>
      </c>
      <c r="Z229" s="663">
        <f t="shared" si="90"/>
        <v>347071.91563636367</v>
      </c>
      <c r="AA229" s="664" t="e">
        <f t="shared" si="90"/>
        <v>#REF!</v>
      </c>
      <c r="AB229" s="641"/>
    </row>
    <row r="230" spans="1:28" x14ac:dyDescent="0.2">
      <c r="A230" s="985"/>
      <c r="B230" s="977" t="s">
        <v>1229</v>
      </c>
      <c r="C230" s="977"/>
      <c r="D230" s="977"/>
      <c r="E230" s="666">
        <f>(L230*L229+M230*M229+N230*N229)/(L229+M229+N229)</f>
        <v>7</v>
      </c>
      <c r="F230" s="665" t="s">
        <v>140</v>
      </c>
      <c r="G230" s="665"/>
      <c r="H230" s="665"/>
      <c r="I230" s="665"/>
      <c r="J230" s="665"/>
      <c r="K230" s="665"/>
      <c r="L230" s="887">
        <f>IF(L229=0,0,(SUMPRODUCT(L208:L228,$B208:$B228)/L229))</f>
        <v>0</v>
      </c>
      <c r="M230" s="887">
        <f>IF(M229=0,0,(SUMPRODUCT(M208:M228,$B208:$B228)/M229))</f>
        <v>0</v>
      </c>
      <c r="N230" s="887">
        <f>IF(N229=0,0,ROUND(SUMPRODUCT(N208:N228,$B208:$B228)/N229,0))</f>
        <v>7</v>
      </c>
      <c r="O230" s="667"/>
      <c r="P230" s="668"/>
      <c r="Q230" s="638"/>
      <c r="R230" s="638"/>
      <c r="S230" s="638"/>
      <c r="T230" s="638"/>
      <c r="U230" s="669"/>
      <c r="V230" s="638"/>
      <c r="W230" s="669"/>
      <c r="X230" s="638"/>
      <c r="Y230" s="669"/>
      <c r="Z230" s="638"/>
      <c r="AA230" s="669"/>
    </row>
    <row r="231" spans="1:28" ht="12.75" customHeight="1" x14ac:dyDescent="0.2">
      <c r="A231" s="983">
        <f>A206+1</f>
        <v>10</v>
      </c>
      <c r="B231" s="986" t="s">
        <v>1077</v>
      </c>
      <c r="C231" s="988" t="s">
        <v>1202</v>
      </c>
      <c r="D231" s="989"/>
      <c r="E231" s="990"/>
      <c r="F231" s="991" t="s">
        <v>1203</v>
      </c>
      <c r="G231" s="992"/>
      <c r="H231" s="993"/>
      <c r="I231" s="991" t="s">
        <v>1204</v>
      </c>
      <c r="J231" s="992"/>
      <c r="K231" s="993"/>
      <c r="L231" s="991" t="s">
        <v>1205</v>
      </c>
      <c r="M231" s="992"/>
      <c r="N231" s="992"/>
      <c r="O231" s="978" t="s">
        <v>1206</v>
      </c>
      <c r="P231" s="979"/>
      <c r="Q231" s="980" t="s">
        <v>1207</v>
      </c>
      <c r="R231" s="981"/>
      <c r="S231" s="982"/>
      <c r="T231" s="607" t="s">
        <v>1208</v>
      </c>
      <c r="U231" s="609" t="s">
        <v>1209</v>
      </c>
      <c r="V231" s="608" t="s">
        <v>1210</v>
      </c>
      <c r="W231" s="610" t="s">
        <v>1211</v>
      </c>
      <c r="X231" s="607" t="s">
        <v>1210</v>
      </c>
      <c r="Y231" s="609" t="s">
        <v>1211</v>
      </c>
      <c r="Z231" s="607" t="s">
        <v>1210</v>
      </c>
      <c r="AA231" s="609" t="s">
        <v>1211</v>
      </c>
    </row>
    <row r="232" spans="1:28" x14ac:dyDescent="0.2">
      <c r="A232" s="984"/>
      <c r="B232" s="987"/>
      <c r="C232" s="616" t="str">
        <f>$C$7</f>
        <v>Mini</v>
      </c>
      <c r="D232" s="617" t="str">
        <f>$D$7</f>
        <v>Midi</v>
      </c>
      <c r="E232" s="617" t="str">
        <f>$E$7</f>
        <v>Básico</v>
      </c>
      <c r="F232" s="616" t="str">
        <f>$C$7</f>
        <v>Mini</v>
      </c>
      <c r="G232" s="617" t="str">
        <f>$D$7</f>
        <v>Midi</v>
      </c>
      <c r="H232" s="617" t="str">
        <f>$E$7</f>
        <v>Básico</v>
      </c>
      <c r="I232" s="616" t="str">
        <f>$C$7</f>
        <v>Mini</v>
      </c>
      <c r="J232" s="617" t="str">
        <f>$D$7</f>
        <v>Midi</v>
      </c>
      <c r="K232" s="617" t="str">
        <f>$E$7</f>
        <v>Básico</v>
      </c>
      <c r="L232" s="616" t="str">
        <f>$C$7</f>
        <v>Mini</v>
      </c>
      <c r="M232" s="617" t="str">
        <f>$D$7</f>
        <v>Midi</v>
      </c>
      <c r="N232" s="617" t="str">
        <f>$E$7</f>
        <v>Básico</v>
      </c>
      <c r="O232" s="667" t="s">
        <v>1203</v>
      </c>
      <c r="P232" s="668" t="s">
        <v>1204</v>
      </c>
      <c r="Q232" s="620" t="str">
        <f>C232</f>
        <v>Mini</v>
      </c>
      <c r="R232" s="621" t="str">
        <f>D232</f>
        <v>Midi</v>
      </c>
      <c r="S232" s="622" t="str">
        <f>E232</f>
        <v>Básico</v>
      </c>
      <c r="T232" s="623" t="str">
        <f>C232</f>
        <v>Mini</v>
      </c>
      <c r="U232" s="624" t="str">
        <f>C232</f>
        <v>Mini</v>
      </c>
      <c r="V232" s="625" t="str">
        <f>D232</f>
        <v>Midi</v>
      </c>
      <c r="W232" s="626" t="str">
        <f>D232</f>
        <v>Midi</v>
      </c>
      <c r="X232" s="623" t="str">
        <f>E232</f>
        <v>Básico</v>
      </c>
      <c r="Y232" s="624" t="str">
        <f>E232</f>
        <v>Básico</v>
      </c>
      <c r="Z232" s="627" t="s">
        <v>1218</v>
      </c>
      <c r="AA232" s="628" t="s">
        <v>1218</v>
      </c>
    </row>
    <row r="233" spans="1:28" x14ac:dyDescent="0.2">
      <c r="A233" s="984"/>
      <c r="B233" s="633">
        <v>0</v>
      </c>
      <c r="C233" s="634">
        <v>0</v>
      </c>
      <c r="F233" s="965"/>
      <c r="G233" s="966"/>
      <c r="H233" s="675"/>
      <c r="I233" s="598"/>
      <c r="J233" s="598"/>
      <c r="K233" s="676"/>
      <c r="L233" s="634">
        <f>IF(A231&lt;=$F$3,C233+F233-I233,0)</f>
        <v>0</v>
      </c>
      <c r="M233" s="598">
        <f>IF(A231&lt;=$F$3,D233+G233-J233,0)</f>
        <v>0</v>
      </c>
      <c r="N233" s="598">
        <f>IF(A231&lt;=$F$3,E233+H233-K233,0)</f>
        <v>0</v>
      </c>
      <c r="O233" s="635">
        <f>IF(A231&lt;=$F$3,F233*Q233+G233*R233+H233*S233,0)</f>
        <v>0</v>
      </c>
      <c r="P233" s="636">
        <f>IF(A231&lt;=$F$3,I233*Q233+J233*R233+K233*S233,0)</f>
        <v>0</v>
      </c>
      <c r="Q233" s="637">
        <f t="shared" ref="Q233:S248" si="91">Q208</f>
        <v>525500</v>
      </c>
      <c r="R233" s="638">
        <f t="shared" si="91"/>
        <v>703800</v>
      </c>
      <c r="S233" s="639">
        <f t="shared" si="91"/>
        <v>743200</v>
      </c>
      <c r="T233" s="637">
        <f>L233*$AH$6*AD$12</f>
        <v>0</v>
      </c>
      <c r="U233" s="640" t="e">
        <f>$AH$6*(1-AE$11)*((1+HLOOKUP($A$231,FC_Premissas!$D$5:$W$16,14,FALSE)^0.0833-1))*L233*12</f>
        <v>#REF!</v>
      </c>
      <c r="V233" s="638">
        <f>M233*$AP$6*AL$12</f>
        <v>0</v>
      </c>
      <c r="W233" s="669" t="e">
        <f>$AP$6*(1-AM$11)*((1+HLOOKUP($A$231,FC_Premissas!$D$5:$W$16,14,FALSE)^0.0833-1))*M233*12</f>
        <v>#REF!</v>
      </c>
      <c r="X233" s="637">
        <f>N233*$AX$6*AT$12</f>
        <v>0</v>
      </c>
      <c r="Y233" s="640" t="e">
        <f>$AX$6*(1-AU$11)*((1+HLOOKUP($A$231,FC_Premissas!$D$5:$W$16,14,FALSE)^0.0833-1))*N233*12</f>
        <v>#REF!</v>
      </c>
      <c r="Z233" s="638">
        <f t="shared" ref="Z233:AA253" si="92">T233+V233+X233</f>
        <v>0</v>
      </c>
      <c r="AA233" s="669" t="e">
        <f t="shared" si="92"/>
        <v>#REF!</v>
      </c>
      <c r="AB233" s="641"/>
    </row>
    <row r="234" spans="1:28" x14ac:dyDescent="0.2">
      <c r="A234" s="984"/>
      <c r="B234" s="633">
        <v>1</v>
      </c>
      <c r="C234" s="634">
        <f>IF(A231&lt;=$F$3,L208,0)</f>
        <v>0</v>
      </c>
      <c r="D234" s="598">
        <f>IF(A231&lt;=$F$3,M208,0)</f>
        <v>0</v>
      </c>
      <c r="E234" s="598">
        <f>IF(A231&lt;=$F$3,N208,0)</f>
        <v>0</v>
      </c>
      <c r="F234" s="634"/>
      <c r="G234" s="598"/>
      <c r="H234" s="677"/>
      <c r="I234" s="598"/>
      <c r="J234" s="598"/>
      <c r="K234" s="676"/>
      <c r="L234" s="634">
        <f>IF(A231&lt;=$F$3,C234+F234-I234,0)</f>
        <v>0</v>
      </c>
      <c r="M234" s="598">
        <f>IF(A231&lt;=$F$3,D234+G234-J234,0)</f>
        <v>0</v>
      </c>
      <c r="N234" s="598">
        <f>IF(A231&lt;=$F$3,E234+H234-K234,0)</f>
        <v>0</v>
      </c>
      <c r="O234" s="635">
        <f>IF(A231&lt;=$F$3,F234*Q234+G234*R234+H234*S234,0)</f>
        <v>0</v>
      </c>
      <c r="P234" s="636">
        <f>IF(A231&lt;=$F$3,I234*Q234+J234*R234+K234*S234,0)</f>
        <v>0</v>
      </c>
      <c r="Q234" s="637">
        <f t="shared" si="91"/>
        <v>439509.09090909094</v>
      </c>
      <c r="R234" s="638">
        <f t="shared" si="91"/>
        <v>590567.30181818188</v>
      </c>
      <c r="S234" s="639">
        <f t="shared" si="91"/>
        <v>623520.02909090917</v>
      </c>
      <c r="T234" s="637">
        <f>L234*$AH$6*AD$13</f>
        <v>0</v>
      </c>
      <c r="U234" s="640" t="e">
        <f>$AH$6*(1-AE$12)*((1+HLOOKUP($A$231,FC_Premissas!$D$5:$W$16,14,FALSE)^0.0833-1))*L234*12</f>
        <v>#REF!</v>
      </c>
      <c r="V234" s="638">
        <f>M234*$AP$6*AL$13</f>
        <v>0</v>
      </c>
      <c r="W234" s="669" t="e">
        <f>$AP$6*(1-AM$12)*((1+HLOOKUP($A$231,FC_Premissas!$D$5:$W$16,14,FALSE))^0.0833-1)*M234*12</f>
        <v>#REF!</v>
      </c>
      <c r="X234" s="637">
        <f>N234*$AX$6*AT$13</f>
        <v>0</v>
      </c>
      <c r="Y234" s="640" t="e">
        <f>$AX$6*(1-AU$12)*((1+HLOOKUP($A$231,FC_Premissas!$D$5:$W$16,14,FALSE))^0.0833-1)*N234*12</f>
        <v>#REF!</v>
      </c>
      <c r="Z234" s="638">
        <f t="shared" si="92"/>
        <v>0</v>
      </c>
      <c r="AA234" s="669" t="e">
        <f t="shared" si="92"/>
        <v>#REF!</v>
      </c>
      <c r="AB234" s="641"/>
    </row>
    <row r="235" spans="1:28" x14ac:dyDescent="0.2">
      <c r="A235" s="984"/>
      <c r="B235" s="633">
        <v>2</v>
      </c>
      <c r="C235" s="634">
        <f>IF(A231&lt;=$F$3,L209,0)</f>
        <v>0</v>
      </c>
      <c r="D235" s="598">
        <f>IF(A231&lt;=$F$3,M209,0)</f>
        <v>0</v>
      </c>
      <c r="E235" s="598">
        <f>IF(A231&lt;=$F$3,N209,0)</f>
        <v>0</v>
      </c>
      <c r="F235" s="634"/>
      <c r="G235" s="598"/>
      <c r="H235" s="677"/>
      <c r="I235" s="598"/>
      <c r="J235" s="598"/>
      <c r="K235" s="676"/>
      <c r="L235" s="634">
        <f>IF(A231&lt;=$F$3,C235+F235-I235,0)</f>
        <v>0</v>
      </c>
      <c r="M235" s="598">
        <f>IF(A231&lt;=$F$3,D235+G235-J235,0)</f>
        <v>0</v>
      </c>
      <c r="N235" s="598">
        <f>IF(A231&lt;=$F$3,E235+H235-K235,0)</f>
        <v>0</v>
      </c>
      <c r="O235" s="635">
        <f>IF(A231&lt;=$F$3,F235*Q235+G235*R235+H235*S235,0)</f>
        <v>0</v>
      </c>
      <c r="P235" s="636">
        <f>IF(A231&lt;=$F$3,I235*Q235+J235*R235+K235*S235,0)</f>
        <v>0</v>
      </c>
      <c r="Q235" s="637">
        <f t="shared" si="91"/>
        <v>362117.27272727271</v>
      </c>
      <c r="R235" s="638">
        <f t="shared" si="91"/>
        <v>488657.87345454545</v>
      </c>
      <c r="S235" s="639">
        <f t="shared" si="91"/>
        <v>515808.05527272727</v>
      </c>
      <c r="T235" s="637">
        <f>L235*$AH$6*AD$14</f>
        <v>0</v>
      </c>
      <c r="U235" s="640" t="e">
        <f>$AH$6*(1-AE$13)*((1+HLOOKUP($A$231,FC_Premissas!$D$5:$W$16,14,FALSE)^0.0833-1))*L235*12</f>
        <v>#REF!</v>
      </c>
      <c r="V235" s="638">
        <f>M235*$AP$6*AL$14</f>
        <v>0</v>
      </c>
      <c r="W235" s="669" t="e">
        <f>$AP$6*(1-AM$13)*((1+HLOOKUP($A$231,FC_Premissas!$D$5:$W$16,14,FALSE))^0.0833-1)*M235*12</f>
        <v>#REF!</v>
      </c>
      <c r="X235" s="637">
        <f>N235*$AX$6*AT$14</f>
        <v>0</v>
      </c>
      <c r="Y235" s="640" t="e">
        <f>$AX$6*(1-AU$13)*((1+HLOOKUP($A$231,FC_Premissas!$D$5:$W$16,14,FALSE))^0.0833-1)*N235*12</f>
        <v>#REF!</v>
      </c>
      <c r="Z235" s="638">
        <f t="shared" si="92"/>
        <v>0</v>
      </c>
      <c r="AA235" s="669" t="e">
        <f t="shared" si="92"/>
        <v>#REF!</v>
      </c>
      <c r="AB235" s="641"/>
    </row>
    <row r="236" spans="1:28" x14ac:dyDescent="0.2">
      <c r="A236" s="984"/>
      <c r="B236" s="633">
        <v>3</v>
      </c>
      <c r="C236" s="634">
        <f>IF(A231&lt;=$F$3,L210,0)</f>
        <v>0</v>
      </c>
      <c r="D236" s="598">
        <f>IF(A231&lt;=$F$3,M210,0)</f>
        <v>0</v>
      </c>
      <c r="E236" s="598">
        <f>IF(A231&lt;=$F$3,N210,0)</f>
        <v>0</v>
      </c>
      <c r="F236" s="634"/>
      <c r="G236" s="598"/>
      <c r="H236" s="677"/>
      <c r="I236" s="598"/>
      <c r="J236" s="598"/>
      <c r="K236" s="676"/>
      <c r="L236" s="634">
        <f>IF(A231&lt;=$F$3,C236+F236-I236,0)</f>
        <v>0</v>
      </c>
      <c r="M236" s="598">
        <f>IF(A231&lt;=$F$3,D236+G236-J236,0)</f>
        <v>0</v>
      </c>
      <c r="N236" s="598">
        <f>IF(A231&lt;=$F$3,E236+H236-K236,0)</f>
        <v>0</v>
      </c>
      <c r="O236" s="635">
        <f>IF(A231&lt;=$F$3,F236*Q236+G236*R236+H236*S236,0)</f>
        <v>0</v>
      </c>
      <c r="P236" s="636">
        <f>IF(A231&lt;=$F$3,I236*Q236+J236*R236+K236*S236,0)</f>
        <v>0</v>
      </c>
      <c r="Q236" s="637">
        <f t="shared" si="91"/>
        <v>293324.54545454541</v>
      </c>
      <c r="R236" s="638">
        <f t="shared" si="91"/>
        <v>398071.71490909089</v>
      </c>
      <c r="S236" s="639">
        <f t="shared" si="91"/>
        <v>420064.07854545448</v>
      </c>
      <c r="T236" s="637">
        <f>L236*$AH$6*AD$15</f>
        <v>0</v>
      </c>
      <c r="U236" s="640" t="e">
        <f>$AH$6*(1-AE$14)*((1+HLOOKUP($A$231,FC_Premissas!$D$5:$W$16,14,FALSE)^0.0833-1))*L236*12</f>
        <v>#REF!</v>
      </c>
      <c r="V236" s="638">
        <f>M236*$AP$6*AL$15</f>
        <v>0</v>
      </c>
      <c r="W236" s="669" t="e">
        <f>$AP$6*(1-AM$14)*((1+HLOOKUP($A$231,FC_Premissas!$D$5:$W$16,14,FALSE))^0.0833-1)*M236*12</f>
        <v>#REF!</v>
      </c>
      <c r="X236" s="637">
        <f>N236*$AX$6*AT$15</f>
        <v>0</v>
      </c>
      <c r="Y236" s="640" t="e">
        <f>$AX$6*(1-AU$14)*((1+HLOOKUP($A$231,FC_Premissas!$D$5:$W$16,14,FALSE))^0.0833-1)*N236*12</f>
        <v>#REF!</v>
      </c>
      <c r="Z236" s="638">
        <f t="shared" si="92"/>
        <v>0</v>
      </c>
      <c r="AA236" s="669" t="e">
        <f t="shared" si="92"/>
        <v>#REF!</v>
      </c>
      <c r="AB236" s="641"/>
    </row>
    <row r="237" spans="1:28" x14ac:dyDescent="0.2">
      <c r="A237" s="984"/>
      <c r="B237" s="633">
        <v>4</v>
      </c>
      <c r="C237" s="634">
        <f>IF(A231&lt;=$F$3,L211,0)</f>
        <v>0</v>
      </c>
      <c r="D237" s="598">
        <f>IF(A231&lt;=$F$3,M211,0)</f>
        <v>0</v>
      </c>
      <c r="E237" s="598">
        <f>IF(A231&lt;=$F$3,N211,0)</f>
        <v>0</v>
      </c>
      <c r="F237" s="634"/>
      <c r="G237" s="598"/>
      <c r="H237" s="677"/>
      <c r="I237" s="598"/>
      <c r="J237" s="598"/>
      <c r="K237" s="676"/>
      <c r="L237" s="634">
        <f>IF(A231&lt;=$F$3,C237+F237-I237,0)</f>
        <v>0</v>
      </c>
      <c r="M237" s="598">
        <f>IF(A231&lt;=$F$3,D237+G237-J237,0)</f>
        <v>0</v>
      </c>
      <c r="N237" s="598">
        <f>IF(A231&lt;=$F$3,E237+H237-K237,0)</f>
        <v>0</v>
      </c>
      <c r="O237" s="635">
        <f>IF(A231&lt;=$F$3,F237*Q237+G237*R237+H237*S237,0)</f>
        <v>0</v>
      </c>
      <c r="P237" s="636">
        <f>IF(A231&lt;=$F$3,I237*Q237+J237*R237+K237*S237,0)</f>
        <v>0</v>
      </c>
      <c r="Q237" s="637">
        <f t="shared" si="91"/>
        <v>233130.90909090909</v>
      </c>
      <c r="R237" s="638">
        <f t="shared" si="91"/>
        <v>318808.82618181815</v>
      </c>
      <c r="S237" s="639">
        <f t="shared" si="91"/>
        <v>336288.09890909091</v>
      </c>
      <c r="T237" s="637">
        <f>L237*$AH$6*AD$16</f>
        <v>0</v>
      </c>
      <c r="U237" s="640" t="e">
        <f>$AH$6*(1-AE$15)*((1+HLOOKUP($A$231,FC_Premissas!$D$5:$W$16,14,FALSE)^0.0833-1))*L237*12</f>
        <v>#REF!</v>
      </c>
      <c r="V237" s="638">
        <f>M237*$AP$6*AL$16</f>
        <v>0</v>
      </c>
      <c r="W237" s="669" t="e">
        <f>$AP$6*(1-AM$15)*((1+HLOOKUP($A$231,FC_Premissas!$D$5:$W$16,14,FALSE))^0.0833-1)*M237*12</f>
        <v>#REF!</v>
      </c>
      <c r="X237" s="637">
        <f>N237*$AX$6*AT$16</f>
        <v>0</v>
      </c>
      <c r="Y237" s="640" t="e">
        <f>$AX$6*(1-AU$15)*((1+HLOOKUP($A$231,FC_Premissas!$D$5:$W$16,14,FALSE))^0.0833-1)*N237*12</f>
        <v>#REF!</v>
      </c>
      <c r="Z237" s="638">
        <f t="shared" si="92"/>
        <v>0</v>
      </c>
      <c r="AA237" s="669" t="e">
        <f t="shared" si="92"/>
        <v>#REF!</v>
      </c>
      <c r="AB237" s="641"/>
    </row>
    <row r="238" spans="1:28" x14ac:dyDescent="0.2">
      <c r="A238" s="984"/>
      <c r="B238" s="633">
        <v>5</v>
      </c>
      <c r="C238" s="634">
        <f>IF(A231&lt;=$F$3,L212,0)</f>
        <v>0</v>
      </c>
      <c r="D238" s="598">
        <f>IF(A231&lt;=$F$3,M212,0)</f>
        <v>0</v>
      </c>
      <c r="E238" s="598">
        <f>IF(A231&lt;=$F$3,N212,0)</f>
        <v>0</v>
      </c>
      <c r="F238" s="634"/>
      <c r="G238" s="598"/>
      <c r="H238" s="677"/>
      <c r="I238" s="598"/>
      <c r="J238" s="598"/>
      <c r="K238" s="676"/>
      <c r="L238" s="634">
        <f>IF(A231&lt;=$F$3,C238+F238-I238,0)</f>
        <v>0</v>
      </c>
      <c r="M238" s="598">
        <f>IF(A231&lt;=$F$3,D238+G238-J238,0)</f>
        <v>0</v>
      </c>
      <c r="N238" s="598">
        <f>IF(A231&lt;=$F$3,E238+H238-K238,0)</f>
        <v>0</v>
      </c>
      <c r="O238" s="635">
        <f>IF(A231&lt;=$F$3,F238*Q238+G238*R238+H238*S238,0)</f>
        <v>0</v>
      </c>
      <c r="P238" s="636">
        <f>IF(A231&lt;=$F$3,I238*Q238+J238*R238+K238*S238,0)</f>
        <v>0</v>
      </c>
      <c r="Q238" s="637">
        <f t="shared" si="91"/>
        <v>181536.36363636365</v>
      </c>
      <c r="R238" s="638">
        <f t="shared" si="91"/>
        <v>250869.20727272728</v>
      </c>
      <c r="S238" s="639">
        <f t="shared" si="91"/>
        <v>264480.11636363639</v>
      </c>
      <c r="T238" s="637">
        <f>L238*$AH$6*AD$17</f>
        <v>0</v>
      </c>
      <c r="U238" s="640" t="e">
        <f>$AH$6*(1-AE$16)*((1+HLOOKUP($A$231,FC_Premissas!$D$5:$W$16,14,FALSE)^0.0833-1))*L238*12</f>
        <v>#REF!</v>
      </c>
      <c r="V238" s="638">
        <f>M238*$AP$6*AL$17</f>
        <v>0</v>
      </c>
      <c r="W238" s="669" t="e">
        <f>$AP$6*(1-AM$16)*((1+HLOOKUP($A$231,FC_Premissas!$D$5:$W$16,14,FALSE))^0.0833-1)*M238*12</f>
        <v>#REF!</v>
      </c>
      <c r="X238" s="637">
        <f>N238*$AX$6*AT$17</f>
        <v>0</v>
      </c>
      <c r="Y238" s="640" t="e">
        <f>$AX$6*(1-AU$16)*((1+HLOOKUP($A$231,FC_Premissas!$D$5:$W$16,14,FALSE))^0.0833-1)*N238*12</f>
        <v>#REF!</v>
      </c>
      <c r="Z238" s="638">
        <f t="shared" si="92"/>
        <v>0</v>
      </c>
      <c r="AA238" s="669" t="e">
        <f t="shared" si="92"/>
        <v>#REF!</v>
      </c>
      <c r="AB238" s="641"/>
    </row>
    <row r="239" spans="1:28" x14ac:dyDescent="0.2">
      <c r="A239" s="984"/>
      <c r="B239" s="633">
        <v>6</v>
      </c>
      <c r="C239" s="634">
        <f>IF(A231&lt;=$F$3,L213,0)</f>
        <v>0</v>
      </c>
      <c r="D239" s="598">
        <f>IF(A231&lt;=$F$3,M213,0)</f>
        <v>0</v>
      </c>
      <c r="E239" s="598">
        <f>IF(A231&lt;=$F$3,N213,0)</f>
        <v>2</v>
      </c>
      <c r="F239" s="634"/>
      <c r="G239" s="598"/>
      <c r="H239" s="650"/>
      <c r="I239" s="598"/>
      <c r="J239" s="598"/>
      <c r="K239" s="676"/>
      <c r="L239" s="634">
        <f>IF(A231&lt;=$F$3,C239+F239-I239,0)</f>
        <v>0</v>
      </c>
      <c r="M239" s="598">
        <f>IF(A231&lt;=$F$3,D239+G239-J239,0)</f>
        <v>0</v>
      </c>
      <c r="N239" s="598">
        <f>IF(A231&lt;=$F$3,E239+H239-K239,0)</f>
        <v>2</v>
      </c>
      <c r="O239" s="635">
        <f>IF(A231&lt;=$F$3,F239*Q239+G239*R239+H239*S239,0)</f>
        <v>0</v>
      </c>
      <c r="P239" s="636">
        <f>IF(A231&lt;=$F$3,I239*Q239+J239*R239+K239*S239,0)</f>
        <v>0</v>
      </c>
      <c r="Q239" s="637">
        <f t="shared" si="91"/>
        <v>138540.90909090912</v>
      </c>
      <c r="R239" s="638">
        <f t="shared" si="91"/>
        <v>194252.85818181818</v>
      </c>
      <c r="S239" s="639">
        <f t="shared" si="91"/>
        <v>204640.13090909092</v>
      </c>
      <c r="T239" s="637">
        <f>L239*$AH$6*AD$18</f>
        <v>0</v>
      </c>
      <c r="U239" s="640" t="e">
        <f>$AH$6*(1-AE$17)*((1+HLOOKUP($A$231,FC_Premissas!$D$5:$W$16,14,FALSE)^0.0833-1))*L239*12</f>
        <v>#REF!</v>
      </c>
      <c r="V239" s="638">
        <f>M239*$AP$6*AL$18</f>
        <v>0</v>
      </c>
      <c r="W239" s="669" t="e">
        <f>$AP$6*(1-AM$17)*((1+HLOOKUP($A$231,FC_Premissas!$D$5:$W$16,14,FALSE))^0.0833-1)*M239*12</f>
        <v>#REF!</v>
      </c>
      <c r="X239" s="637">
        <f>N239*$AX$6*AT$18</f>
        <v>95743.976727272733</v>
      </c>
      <c r="Y239" s="640" t="e">
        <f>$AX$6*(1-AU$17)*((1+HLOOKUP($A$231,FC_Premissas!$D$5:$W$16,14,FALSE))^0.0833-1)*N239*12</f>
        <v>#REF!</v>
      </c>
      <c r="Z239" s="638">
        <f t="shared" si="92"/>
        <v>95743.976727272733</v>
      </c>
      <c r="AA239" s="669" t="e">
        <f t="shared" si="92"/>
        <v>#REF!</v>
      </c>
      <c r="AB239" s="641"/>
    </row>
    <row r="240" spans="1:28" x14ac:dyDescent="0.2">
      <c r="A240" s="984"/>
      <c r="B240" s="633">
        <v>7</v>
      </c>
      <c r="C240" s="634">
        <f>IF(A231&lt;=$F$3,L214,0)</f>
        <v>0</v>
      </c>
      <c r="D240" s="598">
        <f>IF(A231&lt;=$F$3,M214,0)</f>
        <v>0</v>
      </c>
      <c r="E240" s="598">
        <f>IF(A231&lt;=$F$3,N214,0)</f>
        <v>2</v>
      </c>
      <c r="F240" s="634"/>
      <c r="G240" s="598"/>
      <c r="H240" s="650"/>
      <c r="I240" s="598"/>
      <c r="J240" s="598"/>
      <c r="K240" s="676"/>
      <c r="L240" s="634">
        <f>IF(A231&lt;=$F$3,C240+F240-I240,0)</f>
        <v>0</v>
      </c>
      <c r="M240" s="598">
        <f>IF(A231&lt;=$F$3,D240+G240-J240,0)</f>
        <v>0</v>
      </c>
      <c r="N240" s="598">
        <f>IF(A231&lt;=$F$3,E240+H240-K240,0)</f>
        <v>2</v>
      </c>
      <c r="O240" s="635">
        <f>IF(A231&lt;=$F$3,F240*Q240+G240*R240+H240*S240,0)</f>
        <v>0</v>
      </c>
      <c r="P240" s="636">
        <f>IF(A231&lt;=$F$3,I240*Q240+J240*R240+K240*S240,0)</f>
        <v>0</v>
      </c>
      <c r="Q240" s="637">
        <f t="shared" si="91"/>
        <v>104144.54545454548</v>
      </c>
      <c r="R240" s="638">
        <f t="shared" si="91"/>
        <v>148959.77890909094</v>
      </c>
      <c r="S240" s="639">
        <f t="shared" si="91"/>
        <v>156768.14254545458</v>
      </c>
      <c r="T240" s="637">
        <f>L240*$AH$6*AD$19</f>
        <v>0</v>
      </c>
      <c r="U240" s="640" t="e">
        <f>$AH$6*(1-AE$18)*((1+HLOOKUP($A$231,FC_Premissas!$D$5:$W$16,14,FALSE)^0.0833-1))*L240*12</f>
        <v>#REF!</v>
      </c>
      <c r="V240" s="638">
        <f>M240*$AP$6*AL$19</f>
        <v>0</v>
      </c>
      <c r="W240" s="669" t="e">
        <f>$AP$6*(1-AM$18)*((1+HLOOKUP($A$231,FC_Premissas!$D$5:$W$16,14,FALSE))^0.0833-1)*M240*12</f>
        <v>#REF!</v>
      </c>
      <c r="X240" s="637">
        <f>N240*$AX$6*AT$19</f>
        <v>71807.98254545455</v>
      </c>
      <c r="Y240" s="640" t="e">
        <f>$AX$6*(1-AU$18)*((1+HLOOKUP($A$231,FC_Premissas!$D$5:$W$16,14,FALSE))^0.0833-1)*N240*12</f>
        <v>#REF!</v>
      </c>
      <c r="Z240" s="638">
        <f t="shared" si="92"/>
        <v>71807.98254545455</v>
      </c>
      <c r="AA240" s="669" t="e">
        <f t="shared" si="92"/>
        <v>#REF!</v>
      </c>
      <c r="AB240" s="641"/>
    </row>
    <row r="241" spans="1:28" x14ac:dyDescent="0.2">
      <c r="A241" s="984"/>
      <c r="B241" s="633">
        <v>8</v>
      </c>
      <c r="C241" s="634">
        <f>IF(A231&lt;=$F$3,L215,0)</f>
        <v>0</v>
      </c>
      <c r="D241" s="598">
        <f>IF(A231&lt;=$F$3,M215,0)</f>
        <v>0</v>
      </c>
      <c r="E241" s="598">
        <f>IF(A231&lt;=$F$3,N215,0)</f>
        <v>2</v>
      </c>
      <c r="F241" s="634"/>
      <c r="G241" s="598"/>
      <c r="H241" s="650"/>
      <c r="I241" s="598"/>
      <c r="J241" s="598"/>
      <c r="K241" s="676"/>
      <c r="L241" s="634">
        <f>IF(A231&lt;=$F$3,C241+F241-I241,0)</f>
        <v>0</v>
      </c>
      <c r="M241" s="598">
        <f>IF(A231&lt;=$F$3,D241+G241-J241,0)</f>
        <v>0</v>
      </c>
      <c r="N241" s="598">
        <f>IF(A231&lt;=$F$3,E241+H241-K241,0)</f>
        <v>2</v>
      </c>
      <c r="O241" s="635">
        <f>IF(A231&lt;=$F$3,F241*Q241+G241*R241+H241*S241,0)</f>
        <v>0</v>
      </c>
      <c r="P241" s="636">
        <f>IF(A231&lt;=$F$3,I241*Q241+J241*R241+K241*S241,0)</f>
        <v>0</v>
      </c>
      <c r="Q241" s="637">
        <f t="shared" si="91"/>
        <v>78347.272727272764</v>
      </c>
      <c r="R241" s="638">
        <f t="shared" si="91"/>
        <v>114989.9694545455</v>
      </c>
      <c r="S241" s="639">
        <f t="shared" si="91"/>
        <v>120864.15127272732</v>
      </c>
      <c r="T241" s="637">
        <f>L241*$AH$6*AD$20</f>
        <v>0</v>
      </c>
      <c r="U241" s="640" t="e">
        <f>$AH$6*(1-AE$19)*((1+HLOOKUP($A$231,FC_Premissas!$D$5:$W$16,14,FALSE)^0.0833-1))*L241*12</f>
        <v>#REF!</v>
      </c>
      <c r="V241" s="638">
        <f>M241*$AP$6*AL$20</f>
        <v>0</v>
      </c>
      <c r="W241" s="669" t="e">
        <f>$AP$6*(1-AM$19)*((1+HLOOKUP($A$231,FC_Premissas!$D$5:$W$16,14,FALSE))^0.0833-1)*M241*12</f>
        <v>#REF!</v>
      </c>
      <c r="X241" s="637">
        <f>N241*$AX$6*AT$20</f>
        <v>47871.988363636367</v>
      </c>
      <c r="Y241" s="640" t="e">
        <f>$AX$6*(1-AU$19)*((1+HLOOKUP($A$231,FC_Premissas!$D$5:$W$16,14,FALSE))^0.0833-1)*N241*12</f>
        <v>#REF!</v>
      </c>
      <c r="Z241" s="638">
        <f t="shared" si="92"/>
        <v>47871.988363636367</v>
      </c>
      <c r="AA241" s="669" t="e">
        <f t="shared" si="92"/>
        <v>#REF!</v>
      </c>
      <c r="AB241" s="641"/>
    </row>
    <row r="242" spans="1:28" x14ac:dyDescent="0.2">
      <c r="A242" s="984"/>
      <c r="B242" s="633">
        <v>9</v>
      </c>
      <c r="C242" s="634">
        <f>IF(A231&lt;=$F$3,L216,0)</f>
        <v>0</v>
      </c>
      <c r="D242" s="598">
        <f>IF(A231&lt;=$F$3,M216,0)</f>
        <v>0</v>
      </c>
      <c r="E242" s="598">
        <f>IF(A231&lt;=$F$3,N216,0)</f>
        <v>1</v>
      </c>
      <c r="F242" s="634"/>
      <c r="G242" s="598"/>
      <c r="H242" s="650"/>
      <c r="I242" s="598"/>
      <c r="J242" s="598"/>
      <c r="K242" s="676"/>
      <c r="L242" s="634">
        <f>IF(A231&lt;=$F$3,C242+F242-I242,0)</f>
        <v>0</v>
      </c>
      <c r="M242" s="598">
        <f>IF(A231&lt;=$F$3,D242+G242-J242,0)</f>
        <v>0</v>
      </c>
      <c r="N242" s="598">
        <f>IF(A231&lt;=$F$3,E242+H242-K242,0)</f>
        <v>1</v>
      </c>
      <c r="O242" s="635">
        <f>IF(A231&lt;=$F$3,F242*Q242+G242*R242+H242*S242,0)</f>
        <v>0</v>
      </c>
      <c r="P242" s="636">
        <f>IF(A231&lt;=$F$3,I242*Q242+J242*R242+K242*S242,0)</f>
        <v>0</v>
      </c>
      <c r="Q242" s="637">
        <f t="shared" si="91"/>
        <v>61149.090909090955</v>
      </c>
      <c r="R242" s="638">
        <f t="shared" si="91"/>
        <v>92343.429818181874</v>
      </c>
      <c r="S242" s="639">
        <f t="shared" si="91"/>
        <v>96928.157090909139</v>
      </c>
      <c r="T242" s="637">
        <f>L242*$AH$6*AD$21</f>
        <v>0</v>
      </c>
      <c r="U242" s="640" t="e">
        <f>$AH$6*(1-AE$20)*((1+HLOOKUP($A$231,FC_Premissas!$D$5:$W$16,14,FALSE)^0.0833-1))*L242*12</f>
        <v>#REF!</v>
      </c>
      <c r="V242" s="638">
        <f>M242*$AP$6*AL$21</f>
        <v>0</v>
      </c>
      <c r="W242" s="669" t="e">
        <f>$AP$6*(1-AM$20)*((1+HLOOKUP($A$231,FC_Premissas!$D$5:$W$16,14,FALSE))^0.0833-1)*M242*12</f>
        <v>#REF!</v>
      </c>
      <c r="X242" s="637">
        <f>N242*$AX$6*AT$21</f>
        <v>11967.997090909092</v>
      </c>
      <c r="Y242" s="640" t="e">
        <f>$AX$6*(1-AU$20)*((1+HLOOKUP($A$231,FC_Premissas!$D$5:$W$16,14,FALSE))^0.0833-1)*N242*12</f>
        <v>#REF!</v>
      </c>
      <c r="Z242" s="638">
        <f t="shared" si="92"/>
        <v>11967.997090909092</v>
      </c>
      <c r="AA242" s="669" t="e">
        <f t="shared" si="92"/>
        <v>#REF!</v>
      </c>
      <c r="AB242" s="641"/>
    </row>
    <row r="243" spans="1:28" x14ac:dyDescent="0.2">
      <c r="A243" s="984"/>
      <c r="B243" s="633">
        <v>10</v>
      </c>
      <c r="C243" s="634">
        <f>IF(A231&lt;=$F$3,L217,0)</f>
        <v>0</v>
      </c>
      <c r="D243" s="598">
        <f>IF(A231&lt;=$F$3,M217,0)</f>
        <v>0</v>
      </c>
      <c r="E243" s="598">
        <f>IF(A231&lt;=$F$3,N217,0)</f>
        <v>3</v>
      </c>
      <c r="F243" s="634"/>
      <c r="G243" s="598"/>
      <c r="H243" s="650"/>
      <c r="I243" s="598"/>
      <c r="J243" s="598"/>
      <c r="K243" s="676"/>
      <c r="L243" s="634">
        <f>IF(A231&lt;=$F$3,C243+F243-I243,0)</f>
        <v>0</v>
      </c>
      <c r="M243" s="598">
        <f>IF(A231&lt;=$F$3,D243+G243-J243,0)</f>
        <v>0</v>
      </c>
      <c r="N243" s="598">
        <f>IF(A231&lt;=$F$3,E243+H243-K243,0)</f>
        <v>3</v>
      </c>
      <c r="O243" s="635">
        <f>IF(A231&lt;=$F$3,F243*Q243+G243*R243+H243*S243,0)</f>
        <v>0</v>
      </c>
      <c r="P243" s="636">
        <f>IF(A231&lt;=$F$3,I243*Q243+J243*R243+K243*S243,0)</f>
        <v>0</v>
      </c>
      <c r="Q243" s="637">
        <f t="shared" si="91"/>
        <v>52550.000000000044</v>
      </c>
      <c r="R243" s="638">
        <f t="shared" si="91"/>
        <v>81020.160000000062</v>
      </c>
      <c r="S243" s="639">
        <f t="shared" si="91"/>
        <v>84960.160000000062</v>
      </c>
      <c r="T243" s="637">
        <f>L243*$AH$6*AD$22</f>
        <v>0</v>
      </c>
      <c r="U243" s="640" t="e">
        <f>$AH$6*(1-AE$21)*((1+HLOOKUP($A$231,FC_Premissas!$D$5:$W$16,14,FALSE)^0.0833-1))*L243*12</f>
        <v>#REF!</v>
      </c>
      <c r="V243" s="638">
        <f>M243*$AP$6*AL$22</f>
        <v>0</v>
      </c>
      <c r="W243" s="669" t="e">
        <f>$AP$6*(1-AM$21)*((1+HLOOKUP($A$231,FC_Premissas!$D$5:$W$16,14,FALSE))^0.0833-1)*M243*12</f>
        <v>#REF!</v>
      </c>
      <c r="X243" s="637">
        <f>N243*$AX$6*AT$22</f>
        <v>0</v>
      </c>
      <c r="Y243" s="640" t="e">
        <f>$AX$6*(1-AU$21)*((1+HLOOKUP($A$231,FC_Premissas!$D$5:$W$16,14,FALSE))^0.0833-1)*N243*12</f>
        <v>#REF!</v>
      </c>
      <c r="Z243" s="638">
        <f t="shared" si="92"/>
        <v>0</v>
      </c>
      <c r="AA243" s="669" t="e">
        <f t="shared" si="92"/>
        <v>#REF!</v>
      </c>
      <c r="AB243" s="641"/>
    </row>
    <row r="244" spans="1:28" x14ac:dyDescent="0.2">
      <c r="A244" s="984"/>
      <c r="B244" s="633">
        <v>11</v>
      </c>
      <c r="C244" s="634">
        <f>IF(A231&lt;=$F$3,L218,0)</f>
        <v>0</v>
      </c>
      <c r="D244" s="598">
        <f>IF(A231&lt;=$F$3,M218,0)</f>
        <v>0</v>
      </c>
      <c r="E244" s="598">
        <f>IF(A231&lt;=$F$3,N218,0)</f>
        <v>0</v>
      </c>
      <c r="F244" s="634"/>
      <c r="G244" s="598"/>
      <c r="H244" s="650"/>
      <c r="I244" s="598"/>
      <c r="J244" s="598"/>
      <c r="K244" s="676"/>
      <c r="L244" s="634">
        <f>IF(A231&lt;=$F$3,C244+F244-I244,0)</f>
        <v>0</v>
      </c>
      <c r="M244" s="598">
        <f>IF(A231&lt;=$F$3,D244+G244-J244,0)</f>
        <v>0</v>
      </c>
      <c r="N244" s="598">
        <f>IF(A231&lt;=$F$3,E244+H244-K244,0)</f>
        <v>0</v>
      </c>
      <c r="O244" s="635">
        <f>IF(A231&lt;=$F$3,F244*Q244+G244*R244+H244*S244,0)</f>
        <v>0</v>
      </c>
      <c r="P244" s="636">
        <f>IF(A231&lt;=$F$3,I244*Q244+J244*R244+K244*S244,0)</f>
        <v>0</v>
      </c>
      <c r="Q244" s="637">
        <f t="shared" si="91"/>
        <v>52550.000000000044</v>
      </c>
      <c r="R244" s="638">
        <f t="shared" si="91"/>
        <v>81020.160000000062</v>
      </c>
      <c r="S244" s="639">
        <f t="shared" si="91"/>
        <v>84960.160000000062</v>
      </c>
      <c r="T244" s="637">
        <f>L244*$AH$6*AD$23</f>
        <v>0</v>
      </c>
      <c r="U244" s="640" t="e">
        <f>$AH$6*(1-AE$22)*((1+HLOOKUP($A$231,FC_Premissas!$D$5:$W$16,14,FALSE)^0.0833-1))*L244*12</f>
        <v>#REF!</v>
      </c>
      <c r="V244" s="638">
        <f>M244*$AP$6*AL$23</f>
        <v>0</v>
      </c>
      <c r="W244" s="669" t="e">
        <f>$AP$6*(1-AM$22)*((1+HLOOKUP($A$231,FC_Premissas!$D$5:$W$16,14,FALSE))^0.0833-1)*M244*12</f>
        <v>#REF!</v>
      </c>
      <c r="X244" s="637">
        <f>N244*$AX$6*AT$23</f>
        <v>0</v>
      </c>
      <c r="Y244" s="640" t="e">
        <f>$AX$6*(1-AU$22)*((1+HLOOKUP($A$231,FC_Premissas!$D$5:$W$16,14,FALSE))^0.0833-1)*N244*12</f>
        <v>#REF!</v>
      </c>
      <c r="Z244" s="638">
        <f t="shared" si="92"/>
        <v>0</v>
      </c>
      <c r="AA244" s="669" t="e">
        <f t="shared" si="92"/>
        <v>#REF!</v>
      </c>
      <c r="AB244" s="641"/>
    </row>
    <row r="245" spans="1:28" x14ac:dyDescent="0.2">
      <c r="A245" s="984"/>
      <c r="B245" s="633">
        <v>12</v>
      </c>
      <c r="C245" s="634">
        <f>IF(A231&lt;=$F$3,L219,0)</f>
        <v>0</v>
      </c>
      <c r="D245" s="598">
        <f>IF(A231&lt;=$F$3,M219,0)</f>
        <v>0</v>
      </c>
      <c r="E245" s="598">
        <f>IF(A231&lt;=$F$3,N219,0)</f>
        <v>1</v>
      </c>
      <c r="F245" s="634"/>
      <c r="G245" s="598"/>
      <c r="H245" s="650"/>
      <c r="I245" s="598"/>
      <c r="J245" s="598"/>
      <c r="K245" s="676"/>
      <c r="L245" s="634">
        <f>IF(A231&lt;=$F$3,C245+F245-I245,0)</f>
        <v>0</v>
      </c>
      <c r="M245" s="598">
        <f>IF(A231&lt;=$F$3,D245+G245-J245,0)</f>
        <v>0</v>
      </c>
      <c r="N245" s="598">
        <f>IF(A231&lt;=$F$3,E245+H245-K245,0)</f>
        <v>1</v>
      </c>
      <c r="O245" s="635">
        <f>IF(A231&lt;=$F$3,F245*Q245+G245*R245+H245*S245,0)</f>
        <v>0</v>
      </c>
      <c r="P245" s="636">
        <f>IF(A231&lt;=$F$3,I245*Q245+J245*R245+K245*S245,0)</f>
        <v>0</v>
      </c>
      <c r="Q245" s="637">
        <f t="shared" si="91"/>
        <v>52550.000000000044</v>
      </c>
      <c r="R245" s="638">
        <f t="shared" si="91"/>
        <v>81020.160000000062</v>
      </c>
      <c r="S245" s="639">
        <f t="shared" si="91"/>
        <v>84960.160000000062</v>
      </c>
      <c r="T245" s="637">
        <f>L245*$AH$6*AD$24</f>
        <v>0</v>
      </c>
      <c r="U245" s="640" t="e">
        <f>$AH$6*(1-AE$23)*((1+HLOOKUP($A$231,FC_Premissas!$D$5:$W$16,14,FALSE)^0.0833-1))*L245*12</f>
        <v>#REF!</v>
      </c>
      <c r="V245" s="638">
        <f>M245*$AP$6*AL$24</f>
        <v>0</v>
      </c>
      <c r="W245" s="669" t="e">
        <f>$AP$6*(1-AM$23)*((1+HLOOKUP($A$231,FC_Premissas!$D$5:$W$16,14,FALSE))^0.0833-1)*M245*12</f>
        <v>#REF!</v>
      </c>
      <c r="X245" s="637">
        <f>N245*$AX$6*AT$24</f>
        <v>0</v>
      </c>
      <c r="Y245" s="640" t="e">
        <f>$AX$6*(1-AU$23)*((1+HLOOKUP($A$231,FC_Premissas!$D$5:$W$16,14,FALSE))^0.0833-1)*N245*12</f>
        <v>#REF!</v>
      </c>
      <c r="Z245" s="638">
        <f t="shared" si="92"/>
        <v>0</v>
      </c>
      <c r="AA245" s="669" t="e">
        <f t="shared" si="92"/>
        <v>#REF!</v>
      </c>
      <c r="AB245" s="641"/>
    </row>
    <row r="246" spans="1:28" ht="11.25" customHeight="1" x14ac:dyDescent="0.2">
      <c r="A246" s="984"/>
      <c r="B246" s="633">
        <v>13</v>
      </c>
      <c r="C246" s="634">
        <f>IF(A231&lt;=$F$3,L220,0)</f>
        <v>0</v>
      </c>
      <c r="D246" s="598">
        <f>IF(A231&lt;=$F$3,M220,0)</f>
        <v>0</v>
      </c>
      <c r="E246" s="650">
        <f>IF(A231&lt;=$F$3,N220,0)</f>
        <v>0</v>
      </c>
      <c r="F246" s="634"/>
      <c r="G246" s="598"/>
      <c r="H246" s="598"/>
      <c r="I246" s="634"/>
      <c r="J246" s="598"/>
      <c r="K246" s="676"/>
      <c r="L246" s="634">
        <f>IF(A231&lt;=$F$3,C246+F246-I246,0)</f>
        <v>0</v>
      </c>
      <c r="M246" s="598">
        <f>IF(A231&lt;=$F$3,D246+G246-J246,0)</f>
        <v>0</v>
      </c>
      <c r="N246" s="598">
        <f>IF(A231&lt;=$F$3,E246+H246-K246,0)</f>
        <v>0</v>
      </c>
      <c r="O246" s="635">
        <f>IF(A231&lt;=$F$3,F246*Q246+G246*R246+H246*S246,0)</f>
        <v>0</v>
      </c>
      <c r="P246" s="636">
        <f>IF(A231&lt;=$F$3,I246*Q246+J246*R246+K246*S246,0)</f>
        <v>0</v>
      </c>
      <c r="Q246" s="637">
        <f t="shared" si="91"/>
        <v>52550.000000000044</v>
      </c>
      <c r="R246" s="638">
        <f t="shared" si="91"/>
        <v>81020.160000000062</v>
      </c>
      <c r="S246" s="639">
        <f t="shared" si="91"/>
        <v>84960.160000000062</v>
      </c>
      <c r="T246" s="637">
        <f>L246*$AH$6*AD$25</f>
        <v>0</v>
      </c>
      <c r="U246" s="640" t="e">
        <f>$AH$6*(1-AE$24)*((1+HLOOKUP($A$231,FC_Premissas!$D$5:$W$16,14,FALSE)^0.0833-1))*L246*12</f>
        <v>#REF!</v>
      </c>
      <c r="V246" s="638">
        <f>M246*$AP$6*AL$25</f>
        <v>0</v>
      </c>
      <c r="W246" s="669" t="e">
        <f>$AP$6*(1-AM$24)*((1+HLOOKUP($A$231,FC_Premissas!$D$5:$W$16,14,FALSE))^0.0833-1)*M246*12</f>
        <v>#REF!</v>
      </c>
      <c r="X246" s="637">
        <f>N246*$AX$6*AT$25</f>
        <v>0</v>
      </c>
      <c r="Y246" s="640" t="e">
        <f>$AX$6*(1-AU$24)*((1+HLOOKUP($A$231,FC_Premissas!$D$5:$W$16,14,FALSE))^0.0833-1)*N246*12</f>
        <v>#REF!</v>
      </c>
      <c r="Z246" s="638">
        <f t="shared" si="92"/>
        <v>0</v>
      </c>
      <c r="AA246" s="669" t="e">
        <f t="shared" si="92"/>
        <v>#REF!</v>
      </c>
      <c r="AB246" s="641"/>
    </row>
    <row r="247" spans="1:28" ht="11.25" customHeight="1" x14ac:dyDescent="0.2">
      <c r="A247" s="984"/>
      <c r="B247" s="633">
        <v>14</v>
      </c>
      <c r="C247" s="634">
        <f>IF(A231&lt;=$F$3,L221,0)</f>
        <v>0</v>
      </c>
      <c r="D247" s="598">
        <f>IF(A231&lt;=$F$3,M221,0)</f>
        <v>0</v>
      </c>
      <c r="E247" s="650">
        <f>IF(A231&lt;=$F$3,N221,0)</f>
        <v>0</v>
      </c>
      <c r="F247" s="634"/>
      <c r="G247" s="598"/>
      <c r="H247" s="598"/>
      <c r="I247" s="634"/>
      <c r="J247" s="598"/>
      <c r="K247" s="598"/>
      <c r="L247" s="634">
        <f>IF(A231&lt;=$F$3,C247+F247-I247,0)</f>
        <v>0</v>
      </c>
      <c r="M247" s="598">
        <f>IF(A231&lt;=$F$3,D247+G247-J247,0)</f>
        <v>0</v>
      </c>
      <c r="N247" s="598">
        <f>IF(A231&lt;=$F$3,E247+H247-K247,0)</f>
        <v>0</v>
      </c>
      <c r="O247" s="635">
        <f>IF(A231&lt;=$F$3,F247*Q247+G247*R247+H247*S247,0)</f>
        <v>0</v>
      </c>
      <c r="P247" s="636">
        <f>IF(A231&lt;=$F$3,I247*Q247+J247*R247+K247*S247,0)</f>
        <v>0</v>
      </c>
      <c r="Q247" s="637">
        <f t="shared" si="91"/>
        <v>52550.000000000044</v>
      </c>
      <c r="R247" s="638">
        <f t="shared" si="91"/>
        <v>81020.160000000062</v>
      </c>
      <c r="S247" s="639">
        <f t="shared" si="91"/>
        <v>84960.160000000062</v>
      </c>
      <c r="T247" s="637">
        <f>L247*$AH$6*AD$26</f>
        <v>0</v>
      </c>
      <c r="U247" s="640" t="e">
        <f>$AH$6*(1-AE$25)*((1+HLOOKUP($A$231,FC_Premissas!$D$5:$W$16,14,FALSE)^0.0833-1))*L247*12</f>
        <v>#REF!</v>
      </c>
      <c r="V247" s="638">
        <f>M247*$AP$6*AL$26</f>
        <v>0</v>
      </c>
      <c r="W247" s="669" t="e">
        <f>$AP$6*(1-AM$25)*((1+HLOOKUP($A$231,FC_Premissas!$D$5:$W$16,14,FALSE))^0.0833-1)*M247*12</f>
        <v>#REF!</v>
      </c>
      <c r="X247" s="637">
        <f>N247*$AX$6*AT$26</f>
        <v>0</v>
      </c>
      <c r="Y247" s="640" t="e">
        <f>$AX$6*(1-AU$25)*((1+HLOOKUP($A$231,FC_Premissas!$D$5:$W$16,14,FALSE))^0.0833-1)*N247*12</f>
        <v>#REF!</v>
      </c>
      <c r="Z247" s="638">
        <f t="shared" si="92"/>
        <v>0</v>
      </c>
      <c r="AA247" s="669" t="e">
        <f t="shared" si="92"/>
        <v>#REF!</v>
      </c>
      <c r="AB247" s="641"/>
    </row>
    <row r="248" spans="1:28" ht="11.25" customHeight="1" x14ac:dyDescent="0.2">
      <c r="A248" s="984"/>
      <c r="B248" s="633">
        <v>15</v>
      </c>
      <c r="C248" s="634">
        <f>IF(A231&lt;=$F$3,L222,0)</f>
        <v>0</v>
      </c>
      <c r="D248" s="598">
        <f>IF(A231&lt;=$F$3,M222,0)</f>
        <v>0</v>
      </c>
      <c r="E248" s="650">
        <f>IF(A231&lt;=$F$3,N222,0)</f>
        <v>0</v>
      </c>
      <c r="F248" s="634"/>
      <c r="G248" s="598"/>
      <c r="H248" s="598"/>
      <c r="I248" s="634"/>
      <c r="J248" s="598"/>
      <c r="K248" s="598"/>
      <c r="L248" s="634">
        <f>IF(A231&lt;=$F$3,C248+F248-I248,0)</f>
        <v>0</v>
      </c>
      <c r="M248" s="598">
        <f>IF(A231&lt;=$F$3,D248+G248-J248,0)</f>
        <v>0</v>
      </c>
      <c r="N248" s="598">
        <f>IF(A231&lt;=$F$3,E248+H248-K248,0)</f>
        <v>0</v>
      </c>
      <c r="O248" s="635">
        <f>IF(A231&lt;=$F$3,F248*Q248+G248*R248+H248*S248,0)</f>
        <v>0</v>
      </c>
      <c r="P248" s="636">
        <f>IF(A231&lt;=$F$3,I248*Q248+J248*R248+K248*S248,0)</f>
        <v>0</v>
      </c>
      <c r="Q248" s="637">
        <f t="shared" si="91"/>
        <v>52550.000000000044</v>
      </c>
      <c r="R248" s="638">
        <f t="shared" si="91"/>
        <v>81020.160000000062</v>
      </c>
      <c r="S248" s="639">
        <f t="shared" si="91"/>
        <v>84960.160000000062</v>
      </c>
      <c r="T248" s="637">
        <f t="shared" ref="T248:T253" si="93">L248*$AH$6*AD$27</f>
        <v>0</v>
      </c>
      <c r="U248" s="640" t="e">
        <f>$AH$6*(1-AE$26)*((1+HLOOKUP($A$231,FC_Premissas!$D$5:$W$16,14,FALSE)^0.0833-1))*L248*12</f>
        <v>#REF!</v>
      </c>
      <c r="V248" s="638">
        <f t="shared" ref="V248:V253" si="94">M248*$AP$6*AL$27</f>
        <v>0</v>
      </c>
      <c r="W248" s="669" t="e">
        <f>$AP$6*(1-AM$26)*((1+HLOOKUP($A$231,FC_Premissas!$D$5:$W$16,14,FALSE))^0.0833-1)*M248*12</f>
        <v>#REF!</v>
      </c>
      <c r="X248" s="637">
        <f t="shared" ref="X248:X253" si="95">N248*$AX$6*AT$27</f>
        <v>0</v>
      </c>
      <c r="Y248" s="640" t="e">
        <f>$AX$6*(1-AU$26)*((1+HLOOKUP($A$231,FC_Premissas!$D$5:$W$16,14,FALSE))^0.0833-1)*N248*12</f>
        <v>#REF!</v>
      </c>
      <c r="Z248" s="638">
        <f t="shared" si="92"/>
        <v>0</v>
      </c>
      <c r="AA248" s="640" t="e">
        <f t="shared" si="92"/>
        <v>#REF!</v>
      </c>
      <c r="AB248" s="641"/>
    </row>
    <row r="249" spans="1:28" x14ac:dyDescent="0.2">
      <c r="A249" s="984"/>
      <c r="B249" s="633">
        <v>16</v>
      </c>
      <c r="C249" s="634">
        <f>IF(A231&lt;=$F$3,L223,0)</f>
        <v>0</v>
      </c>
      <c r="D249" s="598">
        <f>IF(A231&lt;=$F$3,M223,0)</f>
        <v>0</v>
      </c>
      <c r="E249" s="650">
        <f>IF(A231&lt;=$F$3,N223,0)</f>
        <v>0</v>
      </c>
      <c r="F249" s="634"/>
      <c r="G249" s="598"/>
      <c r="H249" s="598"/>
      <c r="I249" s="634"/>
      <c r="J249" s="598"/>
      <c r="K249" s="598"/>
      <c r="L249" s="634">
        <f>IF(A231&lt;=$F$3,C249+F249-I249,0)</f>
        <v>0</v>
      </c>
      <c r="M249" s="598">
        <f>IF(A231&lt;=$F$3,D249+G249-J249,0)</f>
        <v>0</v>
      </c>
      <c r="N249" s="598">
        <f>IF(A231&lt;=$F$3,E249+H249-K249,0)</f>
        <v>0</v>
      </c>
      <c r="O249" s="635">
        <f>IF(A231&lt;=$F$3,F249*Q249+G249*R249+H249*S249,0)</f>
        <v>0</v>
      </c>
      <c r="P249" s="636">
        <f>IF(A231&lt;=$F$3,I249*Q249+J249*R249+K249*S249,0)</f>
        <v>0</v>
      </c>
      <c r="Q249" s="637">
        <f t="shared" ref="Q249:S253" si="96">Q224</f>
        <v>52550.000000000044</v>
      </c>
      <c r="R249" s="638">
        <f t="shared" si="96"/>
        <v>81020.160000000062</v>
      </c>
      <c r="S249" s="639">
        <f t="shared" si="96"/>
        <v>84960.160000000062</v>
      </c>
      <c r="T249" s="637">
        <f t="shared" si="93"/>
        <v>0</v>
      </c>
      <c r="U249" s="640" t="e">
        <f>$AH$6*(1-AE$27)*((1+HLOOKUP($A$231,FC_Premissas!$D$5:$W$16,14,FALSE)^0.0833-1))*L249*12</f>
        <v>#REF!</v>
      </c>
      <c r="V249" s="638">
        <f t="shared" si="94"/>
        <v>0</v>
      </c>
      <c r="W249" s="669" t="e">
        <f>$AP$6*(1-AM$27)*((1+HLOOKUP($A$231,FC_Premissas!$D$5:$W$16,14,FALSE))^0.0833-1)*M249*12</f>
        <v>#REF!</v>
      </c>
      <c r="X249" s="637">
        <f t="shared" si="95"/>
        <v>0</v>
      </c>
      <c r="Y249" s="640" t="e">
        <f>$AX$6*(1-AU$27)*((1+HLOOKUP($A$231,FC_Premissas!$D$5:$W$16,14,FALSE))^0.0833-1)*N249*12</f>
        <v>#REF!</v>
      </c>
      <c r="Z249" s="638">
        <f t="shared" si="92"/>
        <v>0</v>
      </c>
      <c r="AA249" s="640" t="e">
        <f t="shared" si="92"/>
        <v>#REF!</v>
      </c>
      <c r="AB249" s="641"/>
    </row>
    <row r="250" spans="1:28" x14ac:dyDescent="0.2">
      <c r="A250" s="984"/>
      <c r="B250" s="633">
        <v>17</v>
      </c>
      <c r="C250" s="634">
        <f>IF(A231&lt;=$F$3,L224,0)</f>
        <v>0</v>
      </c>
      <c r="D250" s="598">
        <f>IF(A231&lt;=$F$3,M224,0)</f>
        <v>0</v>
      </c>
      <c r="E250" s="650">
        <f>IF(A231&lt;=$F$3,N224,0)</f>
        <v>0</v>
      </c>
      <c r="F250" s="634"/>
      <c r="G250" s="598"/>
      <c r="H250" s="598"/>
      <c r="I250" s="634"/>
      <c r="J250" s="598"/>
      <c r="K250" s="598"/>
      <c r="L250" s="634">
        <f>IF(A231&lt;=$F$3,C250+F250-I250,0)</f>
        <v>0</v>
      </c>
      <c r="M250" s="598">
        <f>IF(A231&lt;=$F$3,D250+G250-J250,0)</f>
        <v>0</v>
      </c>
      <c r="N250" s="598">
        <f>IF(A231&lt;=$F$3,E250+H250-K250,0)</f>
        <v>0</v>
      </c>
      <c r="O250" s="635">
        <f>IF(A231&lt;=$F$3,F250*Q250+G250*R250+H250*S250,0)</f>
        <v>0</v>
      </c>
      <c r="P250" s="636">
        <f>IF(A231&lt;=$F$3,I250*Q250+J250*R250+K250*S250,0)</f>
        <v>0</v>
      </c>
      <c r="Q250" s="637">
        <f t="shared" si="96"/>
        <v>52550.000000000044</v>
      </c>
      <c r="R250" s="638">
        <f t="shared" si="96"/>
        <v>81020.160000000062</v>
      </c>
      <c r="S250" s="639">
        <f t="shared" si="96"/>
        <v>84960.160000000062</v>
      </c>
      <c r="T250" s="637">
        <f t="shared" si="93"/>
        <v>0</v>
      </c>
      <c r="U250" s="640" t="e">
        <f>$AH$6*(1-AE$28)*((1+HLOOKUP($A$231,FC_Premissas!$D$5:$W$16,14,FALSE)^0.0833-1))*L250*12</f>
        <v>#REF!</v>
      </c>
      <c r="V250" s="638">
        <f t="shared" si="94"/>
        <v>0</v>
      </c>
      <c r="W250" s="669" t="e">
        <f>$AP$6*(1-AM$28)*((1+HLOOKUP($A$231,FC_Premissas!$D$5:$W$16,14,FALSE))^0.0833-1)*M250*12</f>
        <v>#REF!</v>
      </c>
      <c r="X250" s="637">
        <f t="shared" si="95"/>
        <v>0</v>
      </c>
      <c r="Y250" s="640" t="e">
        <f>$AX$6*(1-AU$28)*((1+HLOOKUP($A$231,FC_Premissas!$D$5:$W$16,14,FALSE))^0.0833-1)*N250*12</f>
        <v>#REF!</v>
      </c>
      <c r="Z250" s="638">
        <f t="shared" si="92"/>
        <v>0</v>
      </c>
      <c r="AA250" s="640" t="e">
        <f t="shared" si="92"/>
        <v>#REF!</v>
      </c>
      <c r="AB250" s="641"/>
    </row>
    <row r="251" spans="1:28" x14ac:dyDescent="0.2">
      <c r="A251" s="984"/>
      <c r="B251" s="633">
        <v>18</v>
      </c>
      <c r="C251" s="634">
        <f>IF(A231&lt;=$F$3,L225,0)</f>
        <v>0</v>
      </c>
      <c r="D251" s="598">
        <f>IF(A231&lt;=$F$3,M225,0)</f>
        <v>0</v>
      </c>
      <c r="E251" s="650">
        <f>IF(A231&lt;=$F$3,N225,0)</f>
        <v>0</v>
      </c>
      <c r="F251" s="634"/>
      <c r="G251" s="598"/>
      <c r="H251" s="598"/>
      <c r="I251" s="634"/>
      <c r="J251" s="598"/>
      <c r="K251" s="598"/>
      <c r="L251" s="634">
        <f>IF(A231&lt;=$F$3,C251+F251-I251,0)</f>
        <v>0</v>
      </c>
      <c r="M251" s="598">
        <f>IF(A231&lt;=$F$3,D251+G251-J251,0)</f>
        <v>0</v>
      </c>
      <c r="N251" s="598">
        <f>IF(A231&lt;=$F$3,E251+H251-K251,0)</f>
        <v>0</v>
      </c>
      <c r="O251" s="635">
        <f>IF(A231&lt;=$F$3,F251*Q251+G251*R251+H251*S251,0)</f>
        <v>0</v>
      </c>
      <c r="P251" s="636">
        <f>IF(A231&lt;=$F$3,I251*Q251+J251*R251+K251*S251,0)</f>
        <v>0</v>
      </c>
      <c r="Q251" s="637">
        <f t="shared" si="96"/>
        <v>52550.000000000044</v>
      </c>
      <c r="R251" s="638">
        <f t="shared" si="96"/>
        <v>81020.160000000062</v>
      </c>
      <c r="S251" s="639">
        <f t="shared" si="96"/>
        <v>84960.160000000062</v>
      </c>
      <c r="T251" s="637">
        <f t="shared" si="93"/>
        <v>0</v>
      </c>
      <c r="U251" s="640" t="e">
        <f>$AH$6*(1-AE$29)*((1+HLOOKUP($A$231,FC_Premissas!$D$5:$W$16,14,FALSE)^0.0833-1))*L251*12</f>
        <v>#REF!</v>
      </c>
      <c r="V251" s="638">
        <f t="shared" si="94"/>
        <v>0</v>
      </c>
      <c r="W251" s="669" t="e">
        <f>$AP$6*(1-AM$29)*((1+HLOOKUP($A$231,FC_Premissas!$D$5:$W$16,14,FALSE))^0.0833-1)*M251*12</f>
        <v>#REF!</v>
      </c>
      <c r="X251" s="637">
        <f t="shared" si="95"/>
        <v>0</v>
      </c>
      <c r="Y251" s="640" t="e">
        <f>$AX$6*(1-AU$29)*((1+HLOOKUP($A$231,FC_Premissas!$D$5:$W$16,14,FALSE))^0.0833-1)*N251*12</f>
        <v>#REF!</v>
      </c>
      <c r="Z251" s="638">
        <f t="shared" si="92"/>
        <v>0</v>
      </c>
      <c r="AA251" s="640" t="e">
        <f t="shared" si="92"/>
        <v>#REF!</v>
      </c>
      <c r="AB251" s="641"/>
    </row>
    <row r="252" spans="1:28" x14ac:dyDescent="0.2">
      <c r="A252" s="984"/>
      <c r="B252" s="633">
        <v>19</v>
      </c>
      <c r="C252" s="634">
        <f>IF(A231&lt;=$F$3,L226,0)</f>
        <v>0</v>
      </c>
      <c r="D252" s="598">
        <f>IF(A231&lt;=$F$3,M226,0)</f>
        <v>0</v>
      </c>
      <c r="E252" s="650">
        <f>IF(A231&lt;=$F$3,N226,0)</f>
        <v>0</v>
      </c>
      <c r="F252" s="634"/>
      <c r="G252" s="598"/>
      <c r="H252" s="598"/>
      <c r="I252" s="634"/>
      <c r="J252" s="598"/>
      <c r="K252" s="598"/>
      <c r="L252" s="634">
        <f>IF(A231&lt;=$F$3,C252+F252-I252,0)</f>
        <v>0</v>
      </c>
      <c r="M252" s="598">
        <f>IF(A231&lt;=$F$3,D252+G252-J252,0)</f>
        <v>0</v>
      </c>
      <c r="N252" s="598">
        <f>IF(A231&lt;=$F$3,E252+H252-K252,0)</f>
        <v>0</v>
      </c>
      <c r="O252" s="635">
        <f>IF(A231&lt;=$F$3,F252*Q252+G252*R252+H252*S252,0)</f>
        <v>0</v>
      </c>
      <c r="P252" s="636">
        <f>IF(A231&lt;=$F$3,I252*Q252+J252*R252+K252*S252,0)</f>
        <v>0</v>
      </c>
      <c r="Q252" s="637">
        <f t="shared" si="96"/>
        <v>52550.000000000044</v>
      </c>
      <c r="R252" s="638">
        <f t="shared" si="96"/>
        <v>81020.160000000062</v>
      </c>
      <c r="S252" s="639">
        <f t="shared" si="96"/>
        <v>84960.160000000062</v>
      </c>
      <c r="T252" s="637">
        <f t="shared" si="93"/>
        <v>0</v>
      </c>
      <c r="U252" s="640" t="e">
        <f>$AH$6*(1-AE$30)*((1+HLOOKUP($A$231,FC_Premissas!$D$5:$W$16,14,FALSE)^0.0833-1))*L252*12</f>
        <v>#REF!</v>
      </c>
      <c r="V252" s="638">
        <f t="shared" si="94"/>
        <v>0</v>
      </c>
      <c r="W252" s="669" t="e">
        <f>$AP$6*(1-AM$30)*((1+HLOOKUP($A$231,FC_Premissas!$D$5:$W$16,14,FALSE))^0.0833-1)*M252*12</f>
        <v>#REF!</v>
      </c>
      <c r="X252" s="637">
        <f t="shared" si="95"/>
        <v>0</v>
      </c>
      <c r="Y252" s="640" t="e">
        <f>$AX$6*(1-AU$30)*((1+HLOOKUP($A$231,FC_Premissas!$D$5:$W$16,14,FALSE))^0.0833-1)*N252*12</f>
        <v>#REF!</v>
      </c>
      <c r="Z252" s="638">
        <f t="shared" si="92"/>
        <v>0</v>
      </c>
      <c r="AA252" s="640" t="e">
        <f t="shared" si="92"/>
        <v>#REF!</v>
      </c>
      <c r="AB252" s="641"/>
    </row>
    <row r="253" spans="1:28" x14ac:dyDescent="0.2">
      <c r="A253" s="984"/>
      <c r="B253" s="633">
        <v>20</v>
      </c>
      <c r="C253" s="616">
        <f>IF(A231&lt;=$F$3,L227,0)</f>
        <v>0</v>
      </c>
      <c r="D253" s="617">
        <f>IF(A231&lt;=$F$3,M227,0)</f>
        <v>0</v>
      </c>
      <c r="E253" s="650">
        <f>IF(A231&lt;=$F$3,N227,0)</f>
        <v>0</v>
      </c>
      <c r="F253" s="616"/>
      <c r="G253" s="617"/>
      <c r="H253" s="598"/>
      <c r="I253" s="616"/>
      <c r="J253" s="617"/>
      <c r="K253" s="598"/>
      <c r="L253" s="616">
        <f>IF(A231&lt;=$F$3,C253+F253-I253,0)</f>
        <v>0</v>
      </c>
      <c r="M253" s="617">
        <f>IF(A231&lt;=$F$3,D253+G253-J253,0)</f>
        <v>0</v>
      </c>
      <c r="N253" s="598">
        <f>IF(A231&lt;=$F$3,E253+H253-K253,0)</f>
        <v>0</v>
      </c>
      <c r="O253" s="635">
        <f>IF(A231&lt;=$F$3,F253*Q253+G253*R253+H253*S253,0)</f>
        <v>0</v>
      </c>
      <c r="P253" s="636">
        <f>IF(A231&lt;=$F$3,I253*Q253+J253*R253+K253*S253,0)</f>
        <v>0</v>
      </c>
      <c r="Q253" s="651">
        <f t="shared" si="96"/>
        <v>52550.000000000044</v>
      </c>
      <c r="R253" s="652">
        <f t="shared" si="96"/>
        <v>81020.160000000062</v>
      </c>
      <c r="S253" s="653">
        <f t="shared" si="96"/>
        <v>84960.160000000062</v>
      </c>
      <c r="T253" s="651">
        <f t="shared" si="93"/>
        <v>0</v>
      </c>
      <c r="U253" s="654" t="e">
        <f>$AH$6*(1-AE$31)*((1+HLOOKUP($A$231,FC_Premissas!$D$5:$W$16,14,FALSE)^0.0833-1))*L253*12</f>
        <v>#REF!</v>
      </c>
      <c r="V253" s="652">
        <f t="shared" si="94"/>
        <v>0</v>
      </c>
      <c r="W253" s="678" t="e">
        <f>$AP$6*(1-AM$31)*((1+HLOOKUP($A$231,FC_Premissas!$D$5:$W$16,14,FALSE))^0.0833-1)*M253*12</f>
        <v>#REF!</v>
      </c>
      <c r="X253" s="651">
        <f t="shared" si="95"/>
        <v>0</v>
      </c>
      <c r="Y253" s="654" t="e">
        <f>$AX$6*(1-AU$31)*((1+HLOOKUP($A$231,FC_Premissas!$D$5:$W$16,14,FALSE))^0.0833-1)*N253*12</f>
        <v>#REF!</v>
      </c>
      <c r="Z253" s="652">
        <f t="shared" si="92"/>
        <v>0</v>
      </c>
      <c r="AA253" s="654" t="e">
        <f t="shared" si="92"/>
        <v>#REF!</v>
      </c>
      <c r="AB253" s="641"/>
    </row>
    <row r="254" spans="1:28" x14ac:dyDescent="0.2">
      <c r="A254" s="984"/>
      <c r="B254" s="655" t="s">
        <v>1228</v>
      </c>
      <c r="C254" s="656">
        <f t="shared" ref="C254:P254" si="97">SUM(C233:C253)</f>
        <v>0</v>
      </c>
      <c r="D254" s="657">
        <f t="shared" si="97"/>
        <v>0</v>
      </c>
      <c r="E254" s="658">
        <f t="shared" si="97"/>
        <v>11</v>
      </c>
      <c r="F254" s="656">
        <f t="shared" si="97"/>
        <v>0</v>
      </c>
      <c r="G254" s="657">
        <f t="shared" si="97"/>
        <v>0</v>
      </c>
      <c r="H254" s="658">
        <f t="shared" si="97"/>
        <v>0</v>
      </c>
      <c r="I254" s="656">
        <f t="shared" si="97"/>
        <v>0</v>
      </c>
      <c r="J254" s="657">
        <f t="shared" si="97"/>
        <v>0</v>
      </c>
      <c r="K254" s="658">
        <f t="shared" si="97"/>
        <v>0</v>
      </c>
      <c r="L254" s="656">
        <f t="shared" si="97"/>
        <v>0</v>
      </c>
      <c r="M254" s="657">
        <f t="shared" si="97"/>
        <v>0</v>
      </c>
      <c r="N254" s="657">
        <f t="shared" si="97"/>
        <v>11</v>
      </c>
      <c r="O254" s="659">
        <f t="shared" si="97"/>
        <v>0</v>
      </c>
      <c r="P254" s="660">
        <f t="shared" si="97"/>
        <v>0</v>
      </c>
      <c r="Q254" s="638"/>
      <c r="R254" s="638"/>
      <c r="S254" s="638"/>
      <c r="T254" s="661">
        <f t="shared" ref="T254:AA254" si="98">SUM(T233:T253)</f>
        <v>0</v>
      </c>
      <c r="U254" s="662" t="e">
        <f t="shared" si="98"/>
        <v>#REF!</v>
      </c>
      <c r="V254" s="663">
        <f t="shared" si="98"/>
        <v>0</v>
      </c>
      <c r="W254" s="662" t="e">
        <f t="shared" si="98"/>
        <v>#REF!</v>
      </c>
      <c r="X254" s="663">
        <f t="shared" si="98"/>
        <v>227391.94472727273</v>
      </c>
      <c r="Y254" s="662" t="e">
        <f t="shared" si="98"/>
        <v>#REF!</v>
      </c>
      <c r="Z254" s="663">
        <f t="shared" si="98"/>
        <v>227391.94472727273</v>
      </c>
      <c r="AA254" s="664" t="e">
        <f t="shared" si="98"/>
        <v>#REF!</v>
      </c>
      <c r="AB254" s="641"/>
    </row>
    <row r="255" spans="1:28" x14ac:dyDescent="0.2">
      <c r="A255" s="985"/>
      <c r="B255" s="977" t="s">
        <v>1229</v>
      </c>
      <c r="C255" s="977"/>
      <c r="D255" s="977"/>
      <c r="E255" s="666">
        <f>(L255*L254+M255*M254+N255*N254)/(L254+M254+N254)</f>
        <v>8</v>
      </c>
      <c r="F255" s="665" t="s">
        <v>140</v>
      </c>
      <c r="G255" s="665"/>
      <c r="H255" s="665"/>
      <c r="I255" s="665"/>
      <c r="J255" s="665"/>
      <c r="K255" s="665"/>
      <c r="L255" s="887">
        <f>IF(L254=0,0,(SUMPRODUCT(L233:L253,$B233:$B253)/L254))</f>
        <v>0</v>
      </c>
      <c r="M255" s="887">
        <f>IF(M254=0,0,(SUMPRODUCT(M233:M253,$B233:$B253)/M254))</f>
        <v>0</v>
      </c>
      <c r="N255" s="887">
        <f>IF(N254=0,0,ROUND(SUMPRODUCT(N233:N253,$B233:$B253)/N254,0))</f>
        <v>8</v>
      </c>
      <c r="O255" s="667"/>
      <c r="P255" s="668"/>
      <c r="Q255" s="638"/>
      <c r="R255" s="638"/>
      <c r="S255" s="638"/>
      <c r="T255" s="638"/>
      <c r="U255" s="669"/>
      <c r="V255" s="638"/>
      <c r="W255" s="669"/>
      <c r="X255" s="638"/>
      <c r="Y255" s="669"/>
      <c r="Z255" s="638"/>
      <c r="AA255" s="669"/>
    </row>
    <row r="256" spans="1:28" ht="12.75" customHeight="1" x14ac:dyDescent="0.2">
      <c r="A256" s="983">
        <f>A231+1</f>
        <v>11</v>
      </c>
      <c r="B256" s="986" t="s">
        <v>1077</v>
      </c>
      <c r="C256" s="988" t="s">
        <v>1202</v>
      </c>
      <c r="D256" s="989"/>
      <c r="E256" s="990"/>
      <c r="F256" s="991" t="s">
        <v>1203</v>
      </c>
      <c r="G256" s="992"/>
      <c r="H256" s="993"/>
      <c r="I256" s="991" t="s">
        <v>1204</v>
      </c>
      <c r="J256" s="992"/>
      <c r="K256" s="993"/>
      <c r="L256" s="991" t="s">
        <v>1205</v>
      </c>
      <c r="M256" s="992"/>
      <c r="N256" s="992"/>
      <c r="O256" s="978" t="s">
        <v>1206</v>
      </c>
      <c r="P256" s="979"/>
      <c r="Q256" s="980" t="s">
        <v>1207</v>
      </c>
      <c r="R256" s="981"/>
      <c r="S256" s="982"/>
      <c r="T256" s="607" t="s">
        <v>1208</v>
      </c>
      <c r="U256" s="609" t="s">
        <v>1209</v>
      </c>
      <c r="V256" s="608" t="s">
        <v>1210</v>
      </c>
      <c r="W256" s="610" t="s">
        <v>1211</v>
      </c>
      <c r="X256" s="607" t="s">
        <v>1210</v>
      </c>
      <c r="Y256" s="609" t="s">
        <v>1211</v>
      </c>
      <c r="Z256" s="607" t="s">
        <v>1210</v>
      </c>
      <c r="AA256" s="609" t="s">
        <v>1211</v>
      </c>
    </row>
    <row r="257" spans="1:28" x14ac:dyDescent="0.2">
      <c r="A257" s="984"/>
      <c r="B257" s="987"/>
      <c r="C257" s="616" t="str">
        <f>$C$7</f>
        <v>Mini</v>
      </c>
      <c r="D257" s="617" t="str">
        <f>$D$7</f>
        <v>Midi</v>
      </c>
      <c r="E257" s="617" t="str">
        <f>$E$7</f>
        <v>Básico</v>
      </c>
      <c r="F257" s="616" t="str">
        <f>$C$7</f>
        <v>Mini</v>
      </c>
      <c r="G257" s="617" t="str">
        <f>$D$7</f>
        <v>Midi</v>
      </c>
      <c r="H257" s="617" t="str">
        <f>$E$7</f>
        <v>Básico</v>
      </c>
      <c r="I257" s="616" t="str">
        <f>$C$7</f>
        <v>Mini</v>
      </c>
      <c r="J257" s="617" t="str">
        <f>$D$7</f>
        <v>Midi</v>
      </c>
      <c r="K257" s="617" t="str">
        <f>$E$7</f>
        <v>Básico</v>
      </c>
      <c r="L257" s="616" t="str">
        <f>$C$7</f>
        <v>Mini</v>
      </c>
      <c r="M257" s="617" t="str">
        <f>$D$7</f>
        <v>Midi</v>
      </c>
      <c r="N257" s="617" t="str">
        <f>$E$7</f>
        <v>Básico</v>
      </c>
      <c r="O257" s="667" t="s">
        <v>1203</v>
      </c>
      <c r="P257" s="668" t="s">
        <v>1204</v>
      </c>
      <c r="Q257" s="620" t="str">
        <f>C257</f>
        <v>Mini</v>
      </c>
      <c r="R257" s="621" t="str">
        <f>D257</f>
        <v>Midi</v>
      </c>
      <c r="S257" s="622" t="str">
        <f>E257</f>
        <v>Básico</v>
      </c>
      <c r="T257" s="623" t="str">
        <f>C257</f>
        <v>Mini</v>
      </c>
      <c r="U257" s="624" t="str">
        <f>C257</f>
        <v>Mini</v>
      </c>
      <c r="V257" s="625" t="str">
        <f>D257</f>
        <v>Midi</v>
      </c>
      <c r="W257" s="626" t="str">
        <f>D257</f>
        <v>Midi</v>
      </c>
      <c r="X257" s="623" t="str">
        <f>E257</f>
        <v>Básico</v>
      </c>
      <c r="Y257" s="624" t="str">
        <f>E257</f>
        <v>Básico</v>
      </c>
      <c r="Z257" s="627" t="s">
        <v>1218</v>
      </c>
      <c r="AA257" s="628" t="s">
        <v>1218</v>
      </c>
    </row>
    <row r="258" spans="1:28" x14ac:dyDescent="0.2">
      <c r="A258" s="984"/>
      <c r="B258" s="633">
        <v>0</v>
      </c>
      <c r="C258" s="634">
        <v>0</v>
      </c>
      <c r="F258" s="965"/>
      <c r="G258" s="966"/>
      <c r="H258" s="675"/>
      <c r="I258" s="598"/>
      <c r="J258" s="598"/>
      <c r="K258" s="676"/>
      <c r="L258" s="634">
        <f>IF(A256&lt;=$F$3,C258+F258-I258,0)</f>
        <v>0</v>
      </c>
      <c r="M258" s="598">
        <f>IF(A256&lt;=$F$3,D258+G258-J258,0)</f>
        <v>0</v>
      </c>
      <c r="N258" s="598">
        <f>IF(A256&lt;=$F$3,E258+H258-K258,0)</f>
        <v>0</v>
      </c>
      <c r="O258" s="635">
        <f>IF(A256&lt;=$F$3,F258*Q258+G258*R258+H258*S258,0)</f>
        <v>0</v>
      </c>
      <c r="P258" s="636">
        <f>IF(A256&lt;=$F$3,I258*Q258+J258*R258+K258*S258,0)</f>
        <v>0</v>
      </c>
      <c r="Q258" s="637">
        <f t="shared" ref="Q258:S273" si="99">Q233</f>
        <v>525500</v>
      </c>
      <c r="R258" s="638">
        <f t="shared" si="99"/>
        <v>703800</v>
      </c>
      <c r="S258" s="639">
        <f t="shared" si="99"/>
        <v>743200</v>
      </c>
      <c r="T258" s="637">
        <f>L258*$AH$6*AD$12</f>
        <v>0</v>
      </c>
      <c r="U258" s="640" t="e">
        <f>$AH$6*(1-AE$11)*((1+HLOOKUP($A$256,FC_Premissas!$D$5:$W$16,14,FALSE)^0.0833-1))*L258*12</f>
        <v>#REF!</v>
      </c>
      <c r="V258" s="638">
        <f>M258*$AP$6*AL$12</f>
        <v>0</v>
      </c>
      <c r="W258" s="669" t="e">
        <f>$AP$6*(1-AM$11)*((1+HLOOKUP($A$256,FC_Premissas!$D$5:$W$16,14,FALSE)^0.0833-1))*M258*12</f>
        <v>#REF!</v>
      </c>
      <c r="X258" s="637">
        <f>N258*$AX$6*AT$12</f>
        <v>0</v>
      </c>
      <c r="Y258" s="640" t="e">
        <f>$AX$6*(1-AU$11)*((1+HLOOKUP($A$256,FC_Premissas!$D$5:$W$16,14,FALSE)^0.0833-1))*N258*12</f>
        <v>#REF!</v>
      </c>
      <c r="Z258" s="638">
        <f t="shared" ref="Z258:AA278" si="100">T258+V258+X258</f>
        <v>0</v>
      </c>
      <c r="AA258" s="669" t="e">
        <f t="shared" si="100"/>
        <v>#REF!</v>
      </c>
      <c r="AB258" s="641"/>
    </row>
    <row r="259" spans="1:28" x14ac:dyDescent="0.2">
      <c r="A259" s="984"/>
      <c r="B259" s="633">
        <v>1</v>
      </c>
      <c r="C259" s="634">
        <f>IF(A256&lt;=$F$3,L233,0)</f>
        <v>0</v>
      </c>
      <c r="D259" s="598">
        <f>IF(A256&lt;=$F$3,M233,0)</f>
        <v>0</v>
      </c>
      <c r="E259" s="598">
        <f>IF(A256&lt;=$F$3,N233,0)</f>
        <v>0</v>
      </c>
      <c r="F259" s="634"/>
      <c r="G259" s="598"/>
      <c r="H259" s="677"/>
      <c r="I259" s="598"/>
      <c r="J259" s="598"/>
      <c r="K259" s="676"/>
      <c r="L259" s="634">
        <f>IF(A256&lt;=$F$3,C259+F259-I259,0)</f>
        <v>0</v>
      </c>
      <c r="M259" s="598">
        <f>IF(A256&lt;=$F$3,D259+G259-J259,0)</f>
        <v>0</v>
      </c>
      <c r="N259" s="598">
        <f>IF(A256&lt;=$F$3,E259+H259-K259,0)</f>
        <v>0</v>
      </c>
      <c r="O259" s="635">
        <f>IF(A256&lt;=$F$3,F259*Q259+G259*R259+H259*S259,0)</f>
        <v>0</v>
      </c>
      <c r="P259" s="636">
        <f>IF(A256&lt;=$F$3,I259*Q259+J259*R259+K259*S259,0)</f>
        <v>0</v>
      </c>
      <c r="Q259" s="637">
        <f t="shared" si="99"/>
        <v>439509.09090909094</v>
      </c>
      <c r="R259" s="638">
        <f t="shared" si="99"/>
        <v>590567.30181818188</v>
      </c>
      <c r="S259" s="639">
        <f t="shared" si="99"/>
        <v>623520.02909090917</v>
      </c>
      <c r="T259" s="637">
        <f>L259*$AH$6*AD$13</f>
        <v>0</v>
      </c>
      <c r="U259" s="640" t="e">
        <f>$AH$6*(1-AE$12)*((1+HLOOKUP($A$256,FC_Premissas!$D$5:$W$16,14,FALSE)^0.0833-1))*L259*12</f>
        <v>#REF!</v>
      </c>
      <c r="V259" s="638">
        <f>M259*$AP$6*AL$13</f>
        <v>0</v>
      </c>
      <c r="W259" s="669" t="e">
        <f>$AP$6*(1-AM$12)*((1+HLOOKUP($A$256,FC_Premissas!$D$5:$W$16,14,FALSE))^0.0833-1)*M259*12</f>
        <v>#REF!</v>
      </c>
      <c r="X259" s="637">
        <f>N259*$AX$6*AT$13</f>
        <v>0</v>
      </c>
      <c r="Y259" s="640" t="e">
        <f>$AX$6*(1-AU$12)*((1+HLOOKUP($A$256,FC_Premissas!$D$5:$W$16,14,FALSE))^0.0833-1)*N259*12</f>
        <v>#REF!</v>
      </c>
      <c r="Z259" s="638">
        <f t="shared" si="100"/>
        <v>0</v>
      </c>
      <c r="AA259" s="669" t="e">
        <f t="shared" si="100"/>
        <v>#REF!</v>
      </c>
      <c r="AB259" s="641"/>
    </row>
    <row r="260" spans="1:28" x14ac:dyDescent="0.2">
      <c r="A260" s="984"/>
      <c r="B260" s="633">
        <v>2</v>
      </c>
      <c r="C260" s="634">
        <f>IF(A256&lt;=$F$3,L234,0)</f>
        <v>0</v>
      </c>
      <c r="D260" s="598">
        <f>IF(A256&lt;=$F$3,M234,0)</f>
        <v>0</v>
      </c>
      <c r="E260" s="598">
        <f>IF(A256&lt;=$F$3,N234,0)</f>
        <v>0</v>
      </c>
      <c r="F260" s="634"/>
      <c r="G260" s="598"/>
      <c r="H260" s="677"/>
      <c r="I260" s="598"/>
      <c r="J260" s="598"/>
      <c r="K260" s="676"/>
      <c r="L260" s="634">
        <f>IF(A256&lt;=$F$3,C260+F260-I260,0)</f>
        <v>0</v>
      </c>
      <c r="M260" s="598">
        <f>IF(A256&lt;=$F$3,D260+G260-J260,0)</f>
        <v>0</v>
      </c>
      <c r="N260" s="598">
        <f>IF(A256&lt;=$F$3,E260+H260-K260,0)</f>
        <v>0</v>
      </c>
      <c r="O260" s="635">
        <f>IF(A256&lt;=$F$3,F260*Q260+G260*R260+H260*S260,0)</f>
        <v>0</v>
      </c>
      <c r="P260" s="636">
        <f>IF(A256&lt;=$F$3,I260*Q260+J260*R260+K260*S260,0)</f>
        <v>0</v>
      </c>
      <c r="Q260" s="637">
        <f t="shared" si="99"/>
        <v>362117.27272727271</v>
      </c>
      <c r="R260" s="638">
        <f t="shared" si="99"/>
        <v>488657.87345454545</v>
      </c>
      <c r="S260" s="639">
        <f t="shared" si="99"/>
        <v>515808.05527272727</v>
      </c>
      <c r="T260" s="637">
        <f>L260*$AH$6*AD$14</f>
        <v>0</v>
      </c>
      <c r="U260" s="640" t="e">
        <f>$AH$6*(1-AE$13)*((1+HLOOKUP($A$256,FC_Premissas!$D$5:$W$16,14,FALSE)^0.0833-1))*L260*12</f>
        <v>#REF!</v>
      </c>
      <c r="V260" s="638">
        <f>M260*$AP$6*AL$14</f>
        <v>0</v>
      </c>
      <c r="W260" s="669" t="e">
        <f>$AP$6*(1-AM$13)*((1+HLOOKUP($A$256,FC_Premissas!$D$5:$W$16,14,FALSE))^0.0833-1)*M260*12</f>
        <v>#REF!</v>
      </c>
      <c r="X260" s="637">
        <f>N260*$AX$6*AT$14</f>
        <v>0</v>
      </c>
      <c r="Y260" s="640" t="e">
        <f>$AX$6*(1-AU$13)*((1+HLOOKUP($A$256,FC_Premissas!$D$5:$W$16,14,FALSE))^0.0833-1)*N260*12</f>
        <v>#REF!</v>
      </c>
      <c r="Z260" s="638">
        <f t="shared" si="100"/>
        <v>0</v>
      </c>
      <c r="AA260" s="669" t="e">
        <f t="shared" si="100"/>
        <v>#REF!</v>
      </c>
      <c r="AB260" s="641"/>
    </row>
    <row r="261" spans="1:28" x14ac:dyDescent="0.2">
      <c r="A261" s="984"/>
      <c r="B261" s="633">
        <v>3</v>
      </c>
      <c r="C261" s="634">
        <f>IF(A256&lt;=$F$3,L235,0)</f>
        <v>0</v>
      </c>
      <c r="D261" s="598">
        <f>IF(A256&lt;=$F$3,M235,0)</f>
        <v>0</v>
      </c>
      <c r="E261" s="598">
        <f>IF(A256&lt;=$F$3,N235,0)</f>
        <v>0</v>
      </c>
      <c r="F261" s="634"/>
      <c r="G261" s="598"/>
      <c r="H261" s="677"/>
      <c r="I261" s="598"/>
      <c r="J261" s="598"/>
      <c r="K261" s="676"/>
      <c r="L261" s="634">
        <f>IF(A256&lt;=$F$3,C261+F261-I261,0)</f>
        <v>0</v>
      </c>
      <c r="M261" s="598">
        <f>IF(A256&lt;=$F$3,D261+G261-J261,0)</f>
        <v>0</v>
      </c>
      <c r="N261" s="598">
        <f>IF(A256&lt;=$F$3,E261+H261-K261,0)</f>
        <v>0</v>
      </c>
      <c r="O261" s="635">
        <f>IF(A256&lt;=$F$3,F261*Q261+G261*R261+H261*S261,0)</f>
        <v>0</v>
      </c>
      <c r="P261" s="636">
        <f>IF(A256&lt;=$F$3,I261*Q261+J261*R261+K261*S261,0)</f>
        <v>0</v>
      </c>
      <c r="Q261" s="637">
        <f t="shared" si="99"/>
        <v>293324.54545454541</v>
      </c>
      <c r="R261" s="638">
        <f t="shared" si="99"/>
        <v>398071.71490909089</v>
      </c>
      <c r="S261" s="639">
        <f t="shared" si="99"/>
        <v>420064.07854545448</v>
      </c>
      <c r="T261" s="637">
        <f>L261*$AH$6*AD$15</f>
        <v>0</v>
      </c>
      <c r="U261" s="640" t="e">
        <f>$AH$6*(1-AE$14)*((1+HLOOKUP($A$256,FC_Premissas!$D$5:$W$16,14,FALSE)^0.0833-1))*L261*12</f>
        <v>#REF!</v>
      </c>
      <c r="V261" s="638">
        <f>M261*$AP$6*AL$15</f>
        <v>0</v>
      </c>
      <c r="W261" s="669" t="e">
        <f>$AP$6*(1-AM$14)*((1+HLOOKUP($A$256,FC_Premissas!$D$5:$W$16,14,FALSE))^0.0833-1)*M261*12</f>
        <v>#REF!</v>
      </c>
      <c r="X261" s="637">
        <f>N261*$AX$6*AT$15</f>
        <v>0</v>
      </c>
      <c r="Y261" s="640" t="e">
        <f>$AX$6*(1-AU$14)*((1+HLOOKUP($A$256,FC_Premissas!$D$5:$W$16,14,FALSE))^0.0833-1)*N261*12</f>
        <v>#REF!</v>
      </c>
      <c r="Z261" s="638">
        <f t="shared" si="100"/>
        <v>0</v>
      </c>
      <c r="AA261" s="669" t="e">
        <f t="shared" si="100"/>
        <v>#REF!</v>
      </c>
      <c r="AB261" s="641"/>
    </row>
    <row r="262" spans="1:28" x14ac:dyDescent="0.2">
      <c r="A262" s="984"/>
      <c r="B262" s="633">
        <v>4</v>
      </c>
      <c r="C262" s="634">
        <f>IF(A256&lt;=$F$3,L236,0)</f>
        <v>0</v>
      </c>
      <c r="D262" s="598">
        <f>IF(A256&lt;=$F$3,M236,0)</f>
        <v>0</v>
      </c>
      <c r="E262" s="598">
        <f>IF(A256&lt;=$F$3,N236,0)</f>
        <v>0</v>
      </c>
      <c r="F262" s="634"/>
      <c r="G262" s="598"/>
      <c r="H262" s="677"/>
      <c r="I262" s="598"/>
      <c r="J262" s="598"/>
      <c r="K262" s="676"/>
      <c r="L262" s="634">
        <f>IF(A256&lt;=$F$3,C262+F262-I262,0)</f>
        <v>0</v>
      </c>
      <c r="M262" s="598">
        <f>IF(A256&lt;=$F$3,D262+G262-J262,0)</f>
        <v>0</v>
      </c>
      <c r="N262" s="598">
        <f>IF(A256&lt;=$F$3,E262+H262-K262,0)</f>
        <v>0</v>
      </c>
      <c r="O262" s="635">
        <f>IF(A256&lt;=$F$3,F262*Q262+G262*R262+H262*S262,0)</f>
        <v>0</v>
      </c>
      <c r="P262" s="636">
        <f>IF(A256&lt;=$F$3,I262*Q262+J262*R262+K262*S262,0)</f>
        <v>0</v>
      </c>
      <c r="Q262" s="637">
        <f t="shared" si="99"/>
        <v>233130.90909090909</v>
      </c>
      <c r="R262" s="638">
        <f t="shared" si="99"/>
        <v>318808.82618181815</v>
      </c>
      <c r="S262" s="639">
        <f t="shared" si="99"/>
        <v>336288.09890909091</v>
      </c>
      <c r="T262" s="637">
        <f>L262*$AH$6*AD$16</f>
        <v>0</v>
      </c>
      <c r="U262" s="640" t="e">
        <f>$AH$6*(1-AE$15)*((1+HLOOKUP($A$256,FC_Premissas!$D$5:$W$16,14,FALSE)^0.0833-1))*L262*12</f>
        <v>#REF!</v>
      </c>
      <c r="V262" s="638">
        <f>M262*$AP$6*AL$16</f>
        <v>0</v>
      </c>
      <c r="W262" s="669" t="e">
        <f>$AP$6*(1-AM$15)*((1+HLOOKUP($A$256,FC_Premissas!$D$5:$W$16,14,FALSE))^0.0833-1)*M262*12</f>
        <v>#REF!</v>
      </c>
      <c r="X262" s="637">
        <f>N262*$AX$6*AT$16</f>
        <v>0</v>
      </c>
      <c r="Y262" s="640" t="e">
        <f>$AX$6*(1-AU$15)*((1+HLOOKUP($A$256,FC_Premissas!$D$5:$W$16,14,FALSE))^0.0833-1)*N262*12</f>
        <v>#REF!</v>
      </c>
      <c r="Z262" s="638">
        <f t="shared" si="100"/>
        <v>0</v>
      </c>
      <c r="AA262" s="669" t="e">
        <f t="shared" si="100"/>
        <v>#REF!</v>
      </c>
      <c r="AB262" s="641"/>
    </row>
    <row r="263" spans="1:28" x14ac:dyDescent="0.2">
      <c r="A263" s="984"/>
      <c r="B263" s="633">
        <v>5</v>
      </c>
      <c r="C263" s="634">
        <f>IF(A256&lt;=$F$3,L237,0)</f>
        <v>0</v>
      </c>
      <c r="D263" s="598">
        <f>IF(A256&lt;=$F$3,M237,0)</f>
        <v>0</v>
      </c>
      <c r="E263" s="598">
        <f>IF(A256&lt;=$F$3,N237,0)</f>
        <v>0</v>
      </c>
      <c r="F263" s="634"/>
      <c r="G263" s="598"/>
      <c r="H263" s="677">
        <v>3</v>
      </c>
      <c r="I263" s="598"/>
      <c r="J263" s="598"/>
      <c r="K263" s="676"/>
      <c r="L263" s="634">
        <f>IF(A256&lt;=$F$3,C263+F263-I263,0)</f>
        <v>0</v>
      </c>
      <c r="M263" s="598">
        <f>IF(A256&lt;=$F$3,D263+G263-J263,0)</f>
        <v>0</v>
      </c>
      <c r="N263" s="598">
        <f>IF(A256&lt;=$F$3,E263+H263-K263,0)</f>
        <v>3</v>
      </c>
      <c r="O263" s="635">
        <f>IF(A256&lt;=$F$3,F263*Q263+G263*R263+H263*S263,0)</f>
        <v>793440.34909090912</v>
      </c>
      <c r="P263" s="636">
        <f>IF(A256&lt;=$F$3,I263*Q263+J263*R263+K263*S263,0)</f>
        <v>0</v>
      </c>
      <c r="Q263" s="637">
        <f t="shared" si="99"/>
        <v>181536.36363636365</v>
      </c>
      <c r="R263" s="638">
        <f t="shared" si="99"/>
        <v>250869.20727272728</v>
      </c>
      <c r="S263" s="639">
        <f t="shared" si="99"/>
        <v>264480.11636363639</v>
      </c>
      <c r="T263" s="637">
        <f>L263*$AH$6*AD$17</f>
        <v>0</v>
      </c>
      <c r="U263" s="640" t="e">
        <f>$AH$6*(1-AE$16)*((1+HLOOKUP($A$256,FC_Premissas!$D$5:$W$16,14,FALSE)^0.0833-1))*L263*12</f>
        <v>#REF!</v>
      </c>
      <c r="V263" s="638">
        <f>M263*$AP$6*AL$17</f>
        <v>0</v>
      </c>
      <c r="W263" s="669" t="e">
        <f>$AP$6*(1-AM$16)*((1+HLOOKUP($A$256,FC_Premissas!$D$5:$W$16,14,FALSE))^0.0833-1)*M263*12</f>
        <v>#REF!</v>
      </c>
      <c r="X263" s="637">
        <f>N263*$AX$6*AT$17</f>
        <v>179519.95636363636</v>
      </c>
      <c r="Y263" s="640" t="e">
        <f>$AX$6*(1-AU$16)*((1+HLOOKUP($A$256,FC_Premissas!$D$5:$W$16,14,FALSE))^0.0833-1)*N263*12</f>
        <v>#REF!</v>
      </c>
      <c r="Z263" s="638">
        <f t="shared" si="100"/>
        <v>179519.95636363636</v>
      </c>
      <c r="AA263" s="669" t="e">
        <f t="shared" si="100"/>
        <v>#REF!</v>
      </c>
      <c r="AB263" s="641"/>
    </row>
    <row r="264" spans="1:28" x14ac:dyDescent="0.2">
      <c r="A264" s="984"/>
      <c r="B264" s="633">
        <v>6</v>
      </c>
      <c r="C264" s="634">
        <f>IF(A256&lt;=$F$3,L238,0)</f>
        <v>0</v>
      </c>
      <c r="D264" s="598">
        <f>IF(A256&lt;=$F$3,M238,0)</f>
        <v>0</v>
      </c>
      <c r="E264" s="598">
        <f>IF(A256&lt;=$F$3,N238,0)</f>
        <v>0</v>
      </c>
      <c r="F264" s="634"/>
      <c r="G264" s="598"/>
      <c r="H264" s="650"/>
      <c r="I264" s="598"/>
      <c r="J264" s="598"/>
      <c r="K264" s="676"/>
      <c r="L264" s="634">
        <f>IF(A256&lt;=$F$3,C264+F264-I264,0)</f>
        <v>0</v>
      </c>
      <c r="M264" s="598">
        <f>IF(A256&lt;=$F$3,D264+G264-J264,0)</f>
        <v>0</v>
      </c>
      <c r="N264" s="598">
        <f>IF(A256&lt;=$F$3,E264+H264-K264,0)</f>
        <v>0</v>
      </c>
      <c r="O264" s="635">
        <f>IF(A256&lt;=$F$3,F264*Q264+G264*R264+H264*S264,0)</f>
        <v>0</v>
      </c>
      <c r="P264" s="636">
        <f>IF(A256&lt;=$F$3,I264*Q264+J264*R264+K264*S264,0)</f>
        <v>0</v>
      </c>
      <c r="Q264" s="637">
        <f t="shared" si="99"/>
        <v>138540.90909090912</v>
      </c>
      <c r="R264" s="638">
        <f t="shared" si="99"/>
        <v>194252.85818181818</v>
      </c>
      <c r="S264" s="639">
        <f t="shared" si="99"/>
        <v>204640.13090909092</v>
      </c>
      <c r="T264" s="637">
        <f>L264*$AH$6*AD$18</f>
        <v>0</v>
      </c>
      <c r="U264" s="640" t="e">
        <f>$AH$6*(1-AE$17)*((1+HLOOKUP($A$256,FC_Premissas!$D$5:$W$16,14,FALSE)^0.0833-1))*L264*12</f>
        <v>#REF!</v>
      </c>
      <c r="V264" s="638">
        <f>M264*$AP$6*AL$18</f>
        <v>0</v>
      </c>
      <c r="W264" s="669" t="e">
        <f>$AP$6*(1-AM$17)*((1+HLOOKUP($A$256,FC_Premissas!$D$5:$W$16,14,FALSE))^0.0833-1)*M264*12</f>
        <v>#REF!</v>
      </c>
      <c r="X264" s="637">
        <f>N264*$AX$6*AT$18</f>
        <v>0</v>
      </c>
      <c r="Y264" s="640" t="e">
        <f>$AX$6*(1-AU$17)*((1+HLOOKUP($A$256,FC_Premissas!$D$5:$W$16,14,FALSE))^0.0833-1)*N264*12</f>
        <v>#REF!</v>
      </c>
      <c r="Z264" s="638">
        <f t="shared" si="100"/>
        <v>0</v>
      </c>
      <c r="AA264" s="669" t="e">
        <f t="shared" si="100"/>
        <v>#REF!</v>
      </c>
      <c r="AB264" s="641"/>
    </row>
    <row r="265" spans="1:28" x14ac:dyDescent="0.2">
      <c r="A265" s="984"/>
      <c r="B265" s="633">
        <v>7</v>
      </c>
      <c r="C265" s="634">
        <f>IF(A256&lt;=$F$3,L239,0)</f>
        <v>0</v>
      </c>
      <c r="D265" s="598">
        <f>IF(A256&lt;=$F$3,M239,0)</f>
        <v>0</v>
      </c>
      <c r="E265" s="598">
        <f>IF(A256&lt;=$F$3,N239,0)</f>
        <v>2</v>
      </c>
      <c r="F265" s="634"/>
      <c r="G265" s="598"/>
      <c r="H265" s="650"/>
      <c r="I265" s="598"/>
      <c r="J265" s="598"/>
      <c r="K265" s="676"/>
      <c r="L265" s="634">
        <f>IF(A256&lt;=$F$3,C265+F265-I265,0)</f>
        <v>0</v>
      </c>
      <c r="M265" s="598">
        <f>IF(A256&lt;=$F$3,D265+G265-J265,0)</f>
        <v>0</v>
      </c>
      <c r="N265" s="598">
        <f>IF(A256&lt;=$F$3,E265+H265-K265,0)</f>
        <v>2</v>
      </c>
      <c r="O265" s="635">
        <f>IF(A256&lt;=$F$3,F265*Q265+G265*R265+H265*S265,0)</f>
        <v>0</v>
      </c>
      <c r="P265" s="636">
        <f>IF(A256&lt;=$F$3,I265*Q265+J265*R265+K265*S265,0)</f>
        <v>0</v>
      </c>
      <c r="Q265" s="637">
        <f t="shared" si="99"/>
        <v>104144.54545454548</v>
      </c>
      <c r="R265" s="638">
        <f t="shared" si="99"/>
        <v>148959.77890909094</v>
      </c>
      <c r="S265" s="639">
        <f t="shared" si="99"/>
        <v>156768.14254545458</v>
      </c>
      <c r="T265" s="637">
        <f>L265*$AH$6*AD$19</f>
        <v>0</v>
      </c>
      <c r="U265" s="640" t="e">
        <f>$AH$6*(1-AE$18)*((1+HLOOKUP($A$256,FC_Premissas!$D$5:$W$16,14,FALSE)^0.0833-1))*L265*12</f>
        <v>#REF!</v>
      </c>
      <c r="V265" s="638">
        <f>M265*$AP$6*AL$19</f>
        <v>0</v>
      </c>
      <c r="W265" s="669" t="e">
        <f>$AP$6*(1-AM$18)*((1+HLOOKUP($A$256,FC_Premissas!$D$5:$W$16,14,FALSE))^0.0833-1)*M265*12</f>
        <v>#REF!</v>
      </c>
      <c r="X265" s="637">
        <f>N265*$AX$6*AT$19</f>
        <v>71807.98254545455</v>
      </c>
      <c r="Y265" s="640" t="e">
        <f>$AX$6*(1-AU$18)*((1+HLOOKUP($A$256,FC_Premissas!$D$5:$W$16,14,FALSE))^0.0833-1)*N265*12</f>
        <v>#REF!</v>
      </c>
      <c r="Z265" s="638">
        <f t="shared" si="100"/>
        <v>71807.98254545455</v>
      </c>
      <c r="AA265" s="669" t="e">
        <f t="shared" si="100"/>
        <v>#REF!</v>
      </c>
      <c r="AB265" s="641"/>
    </row>
    <row r="266" spans="1:28" x14ac:dyDescent="0.2">
      <c r="A266" s="984"/>
      <c r="B266" s="633">
        <v>8</v>
      </c>
      <c r="C266" s="634">
        <f>IF(A256&lt;=$F$3,L240,0)</f>
        <v>0</v>
      </c>
      <c r="D266" s="598">
        <f>IF(A256&lt;=$F$3,M240,0)</f>
        <v>0</v>
      </c>
      <c r="E266" s="598">
        <f>IF(A256&lt;=$F$3,N240,0)</f>
        <v>2</v>
      </c>
      <c r="F266" s="634"/>
      <c r="G266" s="598"/>
      <c r="H266" s="650"/>
      <c r="I266" s="598"/>
      <c r="J266" s="598"/>
      <c r="K266" s="676"/>
      <c r="L266" s="634">
        <f>IF(A256&lt;=$F$3,C266+F266-I266,0)</f>
        <v>0</v>
      </c>
      <c r="M266" s="598">
        <f>IF(A256&lt;=$F$3,D266+G266-J266,0)</f>
        <v>0</v>
      </c>
      <c r="N266" s="598">
        <f>IF(A256&lt;=$F$3,E266+H266-K266,0)</f>
        <v>2</v>
      </c>
      <c r="O266" s="635">
        <f>IF(A256&lt;=$F$3,F266*Q266+G266*R266+H266*S266,0)</f>
        <v>0</v>
      </c>
      <c r="P266" s="636">
        <f>IF(A256&lt;=$F$3,I266*Q266+J266*R266+K266*S266,0)</f>
        <v>0</v>
      </c>
      <c r="Q266" s="637">
        <f t="shared" si="99"/>
        <v>78347.272727272764</v>
      </c>
      <c r="R266" s="638">
        <f t="shared" si="99"/>
        <v>114989.9694545455</v>
      </c>
      <c r="S266" s="639">
        <f t="shared" si="99"/>
        <v>120864.15127272732</v>
      </c>
      <c r="T266" s="637">
        <f>L266*$AH$6*AD$20</f>
        <v>0</v>
      </c>
      <c r="U266" s="640" t="e">
        <f>$AH$6*(1-AE$19)*((1+HLOOKUP($A$256,FC_Premissas!$D$5:$W$16,14,FALSE)^0.0833-1))*L266*12</f>
        <v>#REF!</v>
      </c>
      <c r="V266" s="638">
        <f>M266*$AP$6*AL$20</f>
        <v>0</v>
      </c>
      <c r="W266" s="669" t="e">
        <f>$AP$6*(1-AM$19)*((1+HLOOKUP($A$256,FC_Premissas!$D$5:$W$16,14,FALSE))^0.0833-1)*M266*12</f>
        <v>#REF!</v>
      </c>
      <c r="X266" s="637">
        <f>N266*$AX$6*AT$20</f>
        <v>47871.988363636367</v>
      </c>
      <c r="Y266" s="640" t="e">
        <f>$AX$6*(1-AU$19)*((1+HLOOKUP($A$256,FC_Premissas!$D$5:$W$16,14,FALSE))^0.0833-1)*N266*12</f>
        <v>#REF!</v>
      </c>
      <c r="Z266" s="638">
        <f t="shared" si="100"/>
        <v>47871.988363636367</v>
      </c>
      <c r="AA266" s="669" t="e">
        <f t="shared" si="100"/>
        <v>#REF!</v>
      </c>
      <c r="AB266" s="641"/>
    </row>
    <row r="267" spans="1:28" x14ac:dyDescent="0.2">
      <c r="A267" s="984"/>
      <c r="B267" s="633">
        <v>9</v>
      </c>
      <c r="C267" s="634">
        <f>IF(A256&lt;=$F$3,L241,0)</f>
        <v>0</v>
      </c>
      <c r="D267" s="598">
        <f>IF(A256&lt;=$F$3,M241,0)</f>
        <v>0</v>
      </c>
      <c r="E267" s="598">
        <f>IF(A256&lt;=$F$3,N241,0)</f>
        <v>2</v>
      </c>
      <c r="F267" s="634"/>
      <c r="G267" s="598"/>
      <c r="H267" s="650"/>
      <c r="I267" s="598"/>
      <c r="J267" s="598"/>
      <c r="K267" s="676"/>
      <c r="L267" s="634">
        <f>IF(A256&lt;=$F$3,C267+F267-I267,0)</f>
        <v>0</v>
      </c>
      <c r="M267" s="598">
        <f>IF(A256&lt;=$F$3,D267+G267-J267,0)</f>
        <v>0</v>
      </c>
      <c r="N267" s="598">
        <f>IF(A256&lt;=$F$3,E267+H267-K267,0)</f>
        <v>2</v>
      </c>
      <c r="O267" s="635">
        <f>IF(A256&lt;=$F$3,F267*Q267+G267*R267+H267*S267,0)</f>
        <v>0</v>
      </c>
      <c r="P267" s="636">
        <f>IF(A256&lt;=$F$3,I267*Q267+J267*R267+K267*S267,0)</f>
        <v>0</v>
      </c>
      <c r="Q267" s="637">
        <f t="shared" si="99"/>
        <v>61149.090909090955</v>
      </c>
      <c r="R267" s="638">
        <f t="shared" si="99"/>
        <v>92343.429818181874</v>
      </c>
      <c r="S267" s="639">
        <f t="shared" si="99"/>
        <v>96928.157090909139</v>
      </c>
      <c r="T267" s="637">
        <f>L267*$AH$6*AD$21</f>
        <v>0</v>
      </c>
      <c r="U267" s="640" t="e">
        <f>$AH$6*(1-AE$20)*((1+HLOOKUP($A$256,FC_Premissas!$D$5:$W$16,14,FALSE)^0.0833-1))*L267*12</f>
        <v>#REF!</v>
      </c>
      <c r="V267" s="638">
        <f>M267*$AP$6*AL$21</f>
        <v>0</v>
      </c>
      <c r="W267" s="669" t="e">
        <f>$AP$6*(1-AM$20)*((1+HLOOKUP($A$256,FC_Premissas!$D$5:$W$16,14,FALSE))^0.0833-1)*M267*12</f>
        <v>#REF!</v>
      </c>
      <c r="X267" s="637">
        <f>N267*$AX$6*AT$21</f>
        <v>23935.994181818183</v>
      </c>
      <c r="Y267" s="640" t="e">
        <f>$AX$6*(1-AU$20)*((1+HLOOKUP($A$256,FC_Premissas!$D$5:$W$16,14,FALSE))^0.0833-1)*N267*12</f>
        <v>#REF!</v>
      </c>
      <c r="Z267" s="638">
        <f t="shared" si="100"/>
        <v>23935.994181818183</v>
      </c>
      <c r="AA267" s="669" t="e">
        <f t="shared" si="100"/>
        <v>#REF!</v>
      </c>
      <c r="AB267" s="641"/>
    </row>
    <row r="268" spans="1:28" x14ac:dyDescent="0.2">
      <c r="A268" s="984"/>
      <c r="B268" s="633">
        <v>10</v>
      </c>
      <c r="C268" s="634">
        <f>IF(A256&lt;=$F$3,L242,0)</f>
        <v>0</v>
      </c>
      <c r="D268" s="598">
        <f>IF(A256&lt;=$F$3,M242,0)</f>
        <v>0</v>
      </c>
      <c r="E268" s="598">
        <f>IF(A256&lt;=$F$3,N242,0)</f>
        <v>1</v>
      </c>
      <c r="F268" s="634"/>
      <c r="G268" s="598"/>
      <c r="H268" s="650"/>
      <c r="I268" s="598"/>
      <c r="J268" s="598"/>
      <c r="K268" s="676"/>
      <c r="L268" s="634">
        <f>IF(A256&lt;=$F$3,C268+F268-I268,0)</f>
        <v>0</v>
      </c>
      <c r="M268" s="598">
        <f>IF(A256&lt;=$F$3,D268+G268-J268,0)</f>
        <v>0</v>
      </c>
      <c r="N268" s="598">
        <f>IF(A256&lt;=$F$3,E268+H268-K268,0)</f>
        <v>1</v>
      </c>
      <c r="O268" s="635">
        <f>IF(A256&lt;=$F$3,F268*Q268+G268*R268+H268*S268,0)</f>
        <v>0</v>
      </c>
      <c r="P268" s="636">
        <f>IF(A256&lt;=$F$3,I268*Q268+J268*R268+K268*S268,0)</f>
        <v>0</v>
      </c>
      <c r="Q268" s="637">
        <f t="shared" si="99"/>
        <v>52550.000000000044</v>
      </c>
      <c r="R268" s="638">
        <f t="shared" si="99"/>
        <v>81020.160000000062</v>
      </c>
      <c r="S268" s="639">
        <f t="shared" si="99"/>
        <v>84960.160000000062</v>
      </c>
      <c r="T268" s="637">
        <f>L268*$AH$6*AD$22</f>
        <v>0</v>
      </c>
      <c r="U268" s="640" t="e">
        <f>$AH$6*(1-AE$21)*((1+HLOOKUP($A$256,FC_Premissas!$D$5:$W$16,14,FALSE)^0.0833-1))*L268*12</f>
        <v>#REF!</v>
      </c>
      <c r="V268" s="638">
        <f>M268*$AP$6*AL$22</f>
        <v>0</v>
      </c>
      <c r="W268" s="669" t="e">
        <f>$AP$6*(1-AM$21)*((1+HLOOKUP($A$256,FC_Premissas!$D$5:$W$16,14,FALSE))^0.0833-1)*M268*12</f>
        <v>#REF!</v>
      </c>
      <c r="X268" s="637">
        <f>N268*$AX$6*AT$22</f>
        <v>0</v>
      </c>
      <c r="Y268" s="640" t="e">
        <f>$AX$6*(1-AU$21)*((1+HLOOKUP($A$256,FC_Premissas!$D$5:$W$16,14,FALSE))^0.0833-1)*N268*12</f>
        <v>#REF!</v>
      </c>
      <c r="Z268" s="638">
        <f t="shared" si="100"/>
        <v>0</v>
      </c>
      <c r="AA268" s="669" t="e">
        <f t="shared" si="100"/>
        <v>#REF!</v>
      </c>
      <c r="AB268" s="641"/>
    </row>
    <row r="269" spans="1:28" x14ac:dyDescent="0.2">
      <c r="A269" s="984"/>
      <c r="B269" s="633">
        <v>11</v>
      </c>
      <c r="C269" s="634">
        <f>IF(A256&lt;=$F$3,L243,0)</f>
        <v>0</v>
      </c>
      <c r="D269" s="598">
        <f>IF(A256&lt;=$F$3,M243,0)</f>
        <v>0</v>
      </c>
      <c r="E269" s="598">
        <f>IF(A256&lt;=$F$3,N243,0)</f>
        <v>3</v>
      </c>
      <c r="F269" s="634"/>
      <c r="G269" s="598"/>
      <c r="H269" s="650"/>
      <c r="I269" s="598"/>
      <c r="J269" s="598"/>
      <c r="K269" s="676">
        <v>2</v>
      </c>
      <c r="L269" s="634">
        <f>IF(A256&lt;=$F$3,C269+F269-I269,0)</f>
        <v>0</v>
      </c>
      <c r="M269" s="598">
        <f>IF(A256&lt;=$F$3,D269+G269-J269,0)</f>
        <v>0</v>
      </c>
      <c r="N269" s="598">
        <f>IF(A256&lt;=$F$3,E269+H269-K269,0)</f>
        <v>1</v>
      </c>
      <c r="O269" s="635">
        <f>IF(A256&lt;=$F$3,F269*Q269+G269*R269+H269*S269,0)</f>
        <v>0</v>
      </c>
      <c r="P269" s="636">
        <f>IF(A256&lt;=$F$3,I269*Q269+J269*R269+K269*S269,0)</f>
        <v>169920.32000000012</v>
      </c>
      <c r="Q269" s="637">
        <f t="shared" si="99"/>
        <v>52550.000000000044</v>
      </c>
      <c r="R269" s="638">
        <f t="shared" si="99"/>
        <v>81020.160000000062</v>
      </c>
      <c r="S269" s="639">
        <f t="shared" si="99"/>
        <v>84960.160000000062</v>
      </c>
      <c r="T269" s="637">
        <f>L269*$AH$6*AD$23</f>
        <v>0</v>
      </c>
      <c r="U269" s="640" t="e">
        <f>$AH$6*(1-AE$22)*((1+HLOOKUP($A$256,FC_Premissas!$D$5:$W$16,14,FALSE)^0.0833-1))*L269*12</f>
        <v>#REF!</v>
      </c>
      <c r="V269" s="638">
        <f>M269*$AP$6*AL$23</f>
        <v>0</v>
      </c>
      <c r="W269" s="669" t="e">
        <f>$AP$6*(1-AM$22)*((1+HLOOKUP($A$256,FC_Premissas!$D$5:$W$16,14,FALSE))^0.0833-1)*M269*12</f>
        <v>#REF!</v>
      </c>
      <c r="X269" s="637">
        <f>N269*$AX$6*AT$23</f>
        <v>0</v>
      </c>
      <c r="Y269" s="640" t="e">
        <f>$AX$6*(1-AU$22)*((1+HLOOKUP($A$256,FC_Premissas!$D$5:$W$16,14,FALSE))^0.0833-1)*N269*12</f>
        <v>#REF!</v>
      </c>
      <c r="Z269" s="638">
        <f t="shared" si="100"/>
        <v>0</v>
      </c>
      <c r="AA269" s="669" t="e">
        <f t="shared" si="100"/>
        <v>#REF!</v>
      </c>
      <c r="AB269" s="641"/>
    </row>
    <row r="270" spans="1:28" x14ac:dyDescent="0.2">
      <c r="A270" s="984"/>
      <c r="B270" s="633">
        <v>12</v>
      </c>
      <c r="C270" s="634">
        <f>IF(A256&lt;=$F$3,L244,0)</f>
        <v>0</v>
      </c>
      <c r="D270" s="598">
        <f>IF(A256&lt;=$F$3,M244,0)</f>
        <v>0</v>
      </c>
      <c r="E270" s="598">
        <f>IF(A256&lt;=$F$3,N244,0)</f>
        <v>0</v>
      </c>
      <c r="F270" s="634"/>
      <c r="G270" s="598"/>
      <c r="H270" s="650"/>
      <c r="I270" s="598"/>
      <c r="J270" s="598"/>
      <c r="K270" s="676"/>
      <c r="L270" s="634">
        <f>IF(A256&lt;=$F$3,C270+F270-I270,0)</f>
        <v>0</v>
      </c>
      <c r="M270" s="598">
        <f>IF(A256&lt;=$F$3,D270+G270-J270,0)</f>
        <v>0</v>
      </c>
      <c r="N270" s="598">
        <f>IF(A256&lt;=$F$3,E270+H270-K270,0)</f>
        <v>0</v>
      </c>
      <c r="O270" s="635">
        <f>IF(A256&lt;=$F$3,F270*Q270+G270*R270+H270*S270,0)</f>
        <v>0</v>
      </c>
      <c r="P270" s="636">
        <f>IF(A256&lt;=$F$3,I270*Q270+J270*R270+K270*S270,0)</f>
        <v>0</v>
      </c>
      <c r="Q270" s="637">
        <f t="shared" si="99"/>
        <v>52550.000000000044</v>
      </c>
      <c r="R270" s="638">
        <f t="shared" si="99"/>
        <v>81020.160000000062</v>
      </c>
      <c r="S270" s="639">
        <f t="shared" si="99"/>
        <v>84960.160000000062</v>
      </c>
      <c r="T270" s="637">
        <f>L270*$AH$6*AD$24</f>
        <v>0</v>
      </c>
      <c r="U270" s="640" t="e">
        <f>$AH$6*(1-AE$23)*((1+HLOOKUP($A$256,FC_Premissas!$D$5:$W$16,14,FALSE)^0.0833-1))*L270*12</f>
        <v>#REF!</v>
      </c>
      <c r="V270" s="638">
        <f>M270*$AP$6*AL$24</f>
        <v>0</v>
      </c>
      <c r="W270" s="669" t="e">
        <f>$AP$6*(1-AM$23)*((1+HLOOKUP($A$256,FC_Premissas!$D$5:$W$16,14,FALSE))^0.0833-1)*M270*12</f>
        <v>#REF!</v>
      </c>
      <c r="X270" s="637">
        <f>N270*$AX$6*AT$24</f>
        <v>0</v>
      </c>
      <c r="Y270" s="640" t="e">
        <f>$AX$6*(1-AU$23)*((1+HLOOKUP($A$256,FC_Premissas!$D$5:$W$16,14,FALSE))^0.0833-1)*N270*12</f>
        <v>#REF!</v>
      </c>
      <c r="Z270" s="638">
        <f t="shared" si="100"/>
        <v>0</v>
      </c>
      <c r="AA270" s="669" t="e">
        <f t="shared" si="100"/>
        <v>#REF!</v>
      </c>
      <c r="AB270" s="641"/>
    </row>
    <row r="271" spans="1:28" ht="11.25" customHeight="1" x14ac:dyDescent="0.2">
      <c r="A271" s="984"/>
      <c r="B271" s="633">
        <v>13</v>
      </c>
      <c r="C271" s="634">
        <f>IF(A256&lt;=$F$3,L245,0)</f>
        <v>0</v>
      </c>
      <c r="D271" s="598">
        <f>IF(A256&lt;=$F$3,M245,0)</f>
        <v>0</v>
      </c>
      <c r="E271" s="650">
        <f>IF(A256&lt;=$F$3,N245,0)</f>
        <v>1</v>
      </c>
      <c r="F271" s="634"/>
      <c r="G271" s="598"/>
      <c r="H271" s="598"/>
      <c r="I271" s="634"/>
      <c r="J271" s="598"/>
      <c r="K271" s="676">
        <v>1</v>
      </c>
      <c r="L271" s="634">
        <f>IF(A256&lt;=$F$3,C271+F271-I271,0)</f>
        <v>0</v>
      </c>
      <c r="M271" s="598">
        <f>IF(A256&lt;=$F$3,D271+G271-J271,0)</f>
        <v>0</v>
      </c>
      <c r="N271" s="598">
        <f>IF(A256&lt;=$F$3,E271+H271-K271,0)</f>
        <v>0</v>
      </c>
      <c r="O271" s="635">
        <f>IF(A256&lt;=$F$3,F271*Q271+G271*R271+H271*S271,0)</f>
        <v>0</v>
      </c>
      <c r="P271" s="636">
        <f>IF(A256&lt;=$F$3,I271*Q271+J271*R271+K271*S271,0)</f>
        <v>84960.160000000062</v>
      </c>
      <c r="Q271" s="637">
        <f t="shared" si="99"/>
        <v>52550.000000000044</v>
      </c>
      <c r="R271" s="638">
        <f t="shared" si="99"/>
        <v>81020.160000000062</v>
      </c>
      <c r="S271" s="639">
        <f t="shared" si="99"/>
        <v>84960.160000000062</v>
      </c>
      <c r="T271" s="637">
        <f>L271*$AH$6*AD$25</f>
        <v>0</v>
      </c>
      <c r="U271" s="640" t="e">
        <f>$AH$6*(1-AE$24)*((1+HLOOKUP($A$256,FC_Premissas!$D$5:$W$16,14,FALSE)^0.0833-1))*L271*12</f>
        <v>#REF!</v>
      </c>
      <c r="V271" s="638">
        <f>M271*$AP$6*AL$25</f>
        <v>0</v>
      </c>
      <c r="W271" s="669" t="e">
        <f>$AP$6*(1-AM$24)*((1+HLOOKUP($A$256,FC_Premissas!$D$5:$W$16,14,FALSE))^0.0833-1)*M271*12</f>
        <v>#REF!</v>
      </c>
      <c r="X271" s="637">
        <f>N271*$AX$6*AT$25</f>
        <v>0</v>
      </c>
      <c r="Y271" s="640" t="e">
        <f>$AX$6*(1-AU$24)*((1+HLOOKUP($A$256,FC_Premissas!$D$5:$W$16,14,FALSE))^0.0833-1)*N271*12</f>
        <v>#REF!</v>
      </c>
      <c r="Z271" s="638">
        <f t="shared" si="100"/>
        <v>0</v>
      </c>
      <c r="AA271" s="669" t="e">
        <f t="shared" si="100"/>
        <v>#REF!</v>
      </c>
      <c r="AB271" s="641"/>
    </row>
    <row r="272" spans="1:28" ht="11.25" customHeight="1" x14ac:dyDescent="0.2">
      <c r="A272" s="984"/>
      <c r="B272" s="633">
        <v>14</v>
      </c>
      <c r="C272" s="634">
        <f>IF(A256&lt;=$F$3,L246,0)</f>
        <v>0</v>
      </c>
      <c r="D272" s="598">
        <f>IF(A256&lt;=$F$3,M246,0)</f>
        <v>0</v>
      </c>
      <c r="E272" s="650">
        <f>IF(A256&lt;=$F$3,N246,0)</f>
        <v>0</v>
      </c>
      <c r="F272" s="634"/>
      <c r="G272" s="598"/>
      <c r="H272" s="598"/>
      <c r="I272" s="634"/>
      <c r="J272" s="598"/>
      <c r="K272" s="598"/>
      <c r="L272" s="634">
        <f>IF(A256&lt;=$F$3,C272+F272-I272,0)</f>
        <v>0</v>
      </c>
      <c r="M272" s="598">
        <f>IF(A256&lt;=$F$3,D272+G272-J272,0)</f>
        <v>0</v>
      </c>
      <c r="N272" s="598">
        <f>IF(A256&lt;=$F$3,E272+H272-K272,0)</f>
        <v>0</v>
      </c>
      <c r="O272" s="635">
        <f>IF(A256&lt;=$F$3,F272*Q272+G272*R272+H272*S272,0)</f>
        <v>0</v>
      </c>
      <c r="P272" s="636">
        <f>IF(A256&lt;=$F$3,I272*Q272+J272*R272+K272*S272,0)</f>
        <v>0</v>
      </c>
      <c r="Q272" s="637">
        <f t="shared" si="99"/>
        <v>52550.000000000044</v>
      </c>
      <c r="R272" s="638">
        <f t="shared" si="99"/>
        <v>81020.160000000062</v>
      </c>
      <c r="S272" s="639">
        <f t="shared" si="99"/>
        <v>84960.160000000062</v>
      </c>
      <c r="T272" s="637">
        <f>L272*$AH$6*AD$26</f>
        <v>0</v>
      </c>
      <c r="U272" s="640" t="e">
        <f>$AH$6*(1-AE$25)*((1+HLOOKUP($A$256,FC_Premissas!$D$5:$W$16,14,FALSE)^0.0833-1))*L272*12</f>
        <v>#REF!</v>
      </c>
      <c r="V272" s="638">
        <f>M272*$AP$6*AL$26</f>
        <v>0</v>
      </c>
      <c r="W272" s="669" t="e">
        <f>$AP$6*(1-AM$25)*((1+HLOOKUP($A$256,FC_Premissas!$D$5:$W$16,14,FALSE))^0.0833-1)*M272*12</f>
        <v>#REF!</v>
      </c>
      <c r="X272" s="637">
        <f>N272*$AX$6*AT$26</f>
        <v>0</v>
      </c>
      <c r="Y272" s="640" t="e">
        <f>$AX$6*(1-AU$25)*((1+HLOOKUP($A$256,FC_Premissas!$D$5:$W$16,14,FALSE))^0.0833-1)*N272*12</f>
        <v>#REF!</v>
      </c>
      <c r="Z272" s="638">
        <f t="shared" si="100"/>
        <v>0</v>
      </c>
      <c r="AA272" s="669" t="e">
        <f t="shared" si="100"/>
        <v>#REF!</v>
      </c>
      <c r="AB272" s="641"/>
    </row>
    <row r="273" spans="1:28" ht="11.25" customHeight="1" x14ac:dyDescent="0.2">
      <c r="A273" s="984"/>
      <c r="B273" s="633">
        <v>15</v>
      </c>
      <c r="C273" s="634">
        <f>IF(A256&lt;=$F$3,L247,0)</f>
        <v>0</v>
      </c>
      <c r="D273" s="598">
        <f>IF(A256&lt;=$F$3,M247,0)</f>
        <v>0</v>
      </c>
      <c r="E273" s="650">
        <f>IF(A256&lt;=$F$3,N247,0)</f>
        <v>0</v>
      </c>
      <c r="F273" s="634"/>
      <c r="G273" s="598"/>
      <c r="H273" s="598"/>
      <c r="I273" s="634"/>
      <c r="J273" s="598"/>
      <c r="K273" s="598"/>
      <c r="L273" s="634">
        <f>IF(A256&lt;=$F$3,C273+F273-I273,0)</f>
        <v>0</v>
      </c>
      <c r="M273" s="598">
        <f>IF(A256&lt;=$F$3,D273+G273-J273,0)</f>
        <v>0</v>
      </c>
      <c r="N273" s="598">
        <f>IF(A256&lt;=$F$3,E273+H273-K273,0)</f>
        <v>0</v>
      </c>
      <c r="O273" s="635">
        <f>IF(A256&lt;=$F$3,F273*Q273+G273*R273+H273*S273,0)</f>
        <v>0</v>
      </c>
      <c r="P273" s="636">
        <f>IF(A256&lt;=$F$3,I273*Q273+J273*R273+K273*S273,0)</f>
        <v>0</v>
      </c>
      <c r="Q273" s="637">
        <f t="shared" si="99"/>
        <v>52550.000000000044</v>
      </c>
      <c r="R273" s="638">
        <f t="shared" si="99"/>
        <v>81020.160000000062</v>
      </c>
      <c r="S273" s="639">
        <f t="shared" si="99"/>
        <v>84960.160000000062</v>
      </c>
      <c r="T273" s="637">
        <f t="shared" ref="T273:T278" si="101">L273*$AH$6*AD$27</f>
        <v>0</v>
      </c>
      <c r="U273" s="640" t="e">
        <f>$AH$6*(1-AE$26)*((1+HLOOKUP($A$256,FC_Premissas!$D$5:$W$16,14,FALSE)^0.0833-1))*L273*12</f>
        <v>#REF!</v>
      </c>
      <c r="V273" s="638">
        <f t="shared" ref="V273:V278" si="102">M273*$AP$6*AL$27</f>
        <v>0</v>
      </c>
      <c r="W273" s="669" t="e">
        <f>$AP$6*(1-AM$26)*((1+HLOOKUP($A$256,FC_Premissas!$D$5:$W$16,14,FALSE))^0.0833-1)*M273*12</f>
        <v>#REF!</v>
      </c>
      <c r="X273" s="637">
        <f t="shared" ref="X273:X278" si="103">N273*$AX$6*AT$27</f>
        <v>0</v>
      </c>
      <c r="Y273" s="640" t="e">
        <f>$AX$6*(1-AU$26)*((1+HLOOKUP($A$256,FC_Premissas!$D$5:$W$16,14,FALSE))^0.0833-1)*N273*12</f>
        <v>#REF!</v>
      </c>
      <c r="Z273" s="638">
        <f t="shared" si="100"/>
        <v>0</v>
      </c>
      <c r="AA273" s="640" t="e">
        <f t="shared" si="100"/>
        <v>#REF!</v>
      </c>
      <c r="AB273" s="641"/>
    </row>
    <row r="274" spans="1:28" x14ac:dyDescent="0.2">
      <c r="A274" s="984"/>
      <c r="B274" s="633">
        <v>16</v>
      </c>
      <c r="C274" s="634">
        <f>IF(A256&lt;=$F$3,L248,0)</f>
        <v>0</v>
      </c>
      <c r="D274" s="598">
        <f>IF(A256&lt;=$F$3,M248,0)</f>
        <v>0</v>
      </c>
      <c r="E274" s="650">
        <f>IF(A256&lt;=$F$3,N248,0)</f>
        <v>0</v>
      </c>
      <c r="F274" s="634"/>
      <c r="G274" s="598"/>
      <c r="H274" s="598"/>
      <c r="I274" s="634"/>
      <c r="J274" s="598"/>
      <c r="K274" s="598"/>
      <c r="L274" s="634">
        <f>IF(A256&lt;=$F$3,C274+F274-I274,0)</f>
        <v>0</v>
      </c>
      <c r="M274" s="598">
        <f>IF(A256&lt;=$F$3,D274+G274-J274,0)</f>
        <v>0</v>
      </c>
      <c r="N274" s="598">
        <f>IF(A256&lt;=$F$3,E274+H274-K274,0)</f>
        <v>0</v>
      </c>
      <c r="O274" s="635">
        <f>IF(A256&lt;=$F$3,F274*Q274+G274*R274+H274*S274,0)</f>
        <v>0</v>
      </c>
      <c r="P274" s="636">
        <f>IF(A256&lt;=$F$3,I274*Q274+J274*R274+K274*S274,0)</f>
        <v>0</v>
      </c>
      <c r="Q274" s="637">
        <f t="shared" ref="Q274:S278" si="104">Q249</f>
        <v>52550.000000000044</v>
      </c>
      <c r="R274" s="638">
        <f t="shared" si="104"/>
        <v>81020.160000000062</v>
      </c>
      <c r="S274" s="639">
        <f t="shared" si="104"/>
        <v>84960.160000000062</v>
      </c>
      <c r="T274" s="637">
        <f t="shared" si="101"/>
        <v>0</v>
      </c>
      <c r="U274" s="640" t="e">
        <f>$AH$6*(1-AE$27)*((1+HLOOKUP($A$256,FC_Premissas!$D$5:$W$16,14,FALSE)^0.0833-1))*L274*12</f>
        <v>#REF!</v>
      </c>
      <c r="V274" s="638">
        <f t="shared" si="102"/>
        <v>0</v>
      </c>
      <c r="W274" s="669" t="e">
        <f>$AP$6*(1-AM$27)*((1+HLOOKUP($A$256,FC_Premissas!$D$5:$W$16,14,FALSE))^0.0833-1)*M274*12</f>
        <v>#REF!</v>
      </c>
      <c r="X274" s="637">
        <f t="shared" si="103"/>
        <v>0</v>
      </c>
      <c r="Y274" s="640" t="e">
        <f>$AX$6*(1-AU$27)*((1+HLOOKUP($A$256,FC_Premissas!$D$5:$W$16,14,FALSE))^0.0833-1)*N274*12</f>
        <v>#REF!</v>
      </c>
      <c r="Z274" s="638">
        <f t="shared" si="100"/>
        <v>0</v>
      </c>
      <c r="AA274" s="640" t="e">
        <f t="shared" si="100"/>
        <v>#REF!</v>
      </c>
      <c r="AB274" s="641"/>
    </row>
    <row r="275" spans="1:28" x14ac:dyDescent="0.2">
      <c r="A275" s="984"/>
      <c r="B275" s="633">
        <v>17</v>
      </c>
      <c r="C275" s="634">
        <f>IF(A256&lt;=$F$3,L249,0)</f>
        <v>0</v>
      </c>
      <c r="D275" s="598">
        <f>IF(A256&lt;=$F$3,M249,0)</f>
        <v>0</v>
      </c>
      <c r="E275" s="650">
        <f>IF(A256&lt;=$F$3,N249,0)</f>
        <v>0</v>
      </c>
      <c r="F275" s="634"/>
      <c r="G275" s="598"/>
      <c r="H275" s="598"/>
      <c r="I275" s="634"/>
      <c r="J275" s="598"/>
      <c r="K275" s="598"/>
      <c r="L275" s="634">
        <f>IF(A256&lt;=$F$3,C275+F275-I275,0)</f>
        <v>0</v>
      </c>
      <c r="M275" s="598">
        <f>IF(A256&lt;=$F$3,D275+G275-J275,0)</f>
        <v>0</v>
      </c>
      <c r="N275" s="598">
        <f>IF(A256&lt;=$F$3,E275+H275-K275,0)</f>
        <v>0</v>
      </c>
      <c r="O275" s="635">
        <f>IF(A256&lt;=$F$3,F275*Q275+G275*R275+H275*S275,0)</f>
        <v>0</v>
      </c>
      <c r="P275" s="636">
        <f>IF(A256&lt;=$F$3,I275*Q275+J275*R275+K275*S275,0)</f>
        <v>0</v>
      </c>
      <c r="Q275" s="637">
        <f t="shared" si="104"/>
        <v>52550.000000000044</v>
      </c>
      <c r="R275" s="638">
        <f t="shared" si="104"/>
        <v>81020.160000000062</v>
      </c>
      <c r="S275" s="639">
        <f t="shared" si="104"/>
        <v>84960.160000000062</v>
      </c>
      <c r="T275" s="637">
        <f t="shared" si="101"/>
        <v>0</v>
      </c>
      <c r="U275" s="640" t="e">
        <f>$AH$6*(1-AE$28)*((1+HLOOKUP($A$256,FC_Premissas!$D$5:$W$16,14,FALSE)^0.0833-1))*L275*12</f>
        <v>#REF!</v>
      </c>
      <c r="V275" s="638">
        <f t="shared" si="102"/>
        <v>0</v>
      </c>
      <c r="W275" s="669" t="e">
        <f>$AP$6*(1-AM$28)*((1+HLOOKUP($A$256,FC_Premissas!$D$5:$W$16,14,FALSE))^0.0833-1)*M275*12</f>
        <v>#REF!</v>
      </c>
      <c r="X275" s="637">
        <f t="shared" si="103"/>
        <v>0</v>
      </c>
      <c r="Y275" s="640" t="e">
        <f>$AX$6*(1-AU$28)*((1+HLOOKUP($A$256,FC_Premissas!$D$5:$W$16,14,FALSE))^0.0833-1)*N275*12</f>
        <v>#REF!</v>
      </c>
      <c r="Z275" s="638">
        <f t="shared" si="100"/>
        <v>0</v>
      </c>
      <c r="AA275" s="640" t="e">
        <f t="shared" si="100"/>
        <v>#REF!</v>
      </c>
      <c r="AB275" s="641"/>
    </row>
    <row r="276" spans="1:28" x14ac:dyDescent="0.2">
      <c r="A276" s="984"/>
      <c r="B276" s="633">
        <v>18</v>
      </c>
      <c r="C276" s="634">
        <f>IF(A256&lt;=$F$3,L250,0)</f>
        <v>0</v>
      </c>
      <c r="D276" s="598">
        <f>IF(A256&lt;=$F$3,M250,0)</f>
        <v>0</v>
      </c>
      <c r="E276" s="650">
        <f>IF(A256&lt;=$F$3,N250,0)</f>
        <v>0</v>
      </c>
      <c r="F276" s="634"/>
      <c r="G276" s="598"/>
      <c r="H276" s="598"/>
      <c r="I276" s="634"/>
      <c r="J276" s="598"/>
      <c r="K276" s="598"/>
      <c r="L276" s="634">
        <f>IF(A256&lt;=$F$3,C276+F276-I276,0)</f>
        <v>0</v>
      </c>
      <c r="M276" s="598">
        <f>IF(A256&lt;=$F$3,D276+G276-J276,0)</f>
        <v>0</v>
      </c>
      <c r="N276" s="598">
        <f>IF(A256&lt;=$F$3,E276+H276-K276,0)</f>
        <v>0</v>
      </c>
      <c r="O276" s="635">
        <f>IF(A256&lt;=$F$3,F276*Q276+G276*R276+H276*S276,0)</f>
        <v>0</v>
      </c>
      <c r="P276" s="636">
        <f>IF(A256&lt;=$F$3,I276*Q276+J276*R276+K276*S276,0)</f>
        <v>0</v>
      </c>
      <c r="Q276" s="637">
        <f t="shared" si="104"/>
        <v>52550.000000000044</v>
      </c>
      <c r="R276" s="638">
        <f t="shared" si="104"/>
        <v>81020.160000000062</v>
      </c>
      <c r="S276" s="639">
        <f t="shared" si="104"/>
        <v>84960.160000000062</v>
      </c>
      <c r="T276" s="637">
        <f t="shared" si="101"/>
        <v>0</v>
      </c>
      <c r="U276" s="640" t="e">
        <f>$AH$6*(1-AE$29)*((1+HLOOKUP($A$256,FC_Premissas!$D$5:$W$16,14,FALSE)^0.0833-1))*L276*12</f>
        <v>#REF!</v>
      </c>
      <c r="V276" s="638">
        <f t="shared" si="102"/>
        <v>0</v>
      </c>
      <c r="W276" s="669" t="e">
        <f>$AP$6*(1-AM$29)*((1+HLOOKUP($A$256,FC_Premissas!$D$5:$W$16,14,FALSE))^0.0833-1)*M276*12</f>
        <v>#REF!</v>
      </c>
      <c r="X276" s="637">
        <f t="shared" si="103"/>
        <v>0</v>
      </c>
      <c r="Y276" s="640" t="e">
        <f>$AX$6*(1-AU$29)*((1+HLOOKUP($A$256,FC_Premissas!$D$5:$W$16,14,FALSE))^0.0833-1)*N276*12</f>
        <v>#REF!</v>
      </c>
      <c r="Z276" s="638">
        <f t="shared" si="100"/>
        <v>0</v>
      </c>
      <c r="AA276" s="640" t="e">
        <f t="shared" si="100"/>
        <v>#REF!</v>
      </c>
      <c r="AB276" s="641"/>
    </row>
    <row r="277" spans="1:28" x14ac:dyDescent="0.2">
      <c r="A277" s="984"/>
      <c r="B277" s="633">
        <v>19</v>
      </c>
      <c r="C277" s="634">
        <f>IF(A256&lt;=$F$3,L251,0)</f>
        <v>0</v>
      </c>
      <c r="D277" s="598">
        <f>IF(A256&lt;=$F$3,M251,0)</f>
        <v>0</v>
      </c>
      <c r="E277" s="650">
        <f>IF(A256&lt;=$F$3,N251,0)</f>
        <v>0</v>
      </c>
      <c r="F277" s="634"/>
      <c r="G277" s="598"/>
      <c r="H277" s="598"/>
      <c r="I277" s="634"/>
      <c r="J277" s="598"/>
      <c r="K277" s="598"/>
      <c r="L277" s="634">
        <f>IF(A256&lt;=$F$3,C277+F277-I277,0)</f>
        <v>0</v>
      </c>
      <c r="M277" s="598">
        <f>IF(A256&lt;=$F$3,D277+G277-J277,0)</f>
        <v>0</v>
      </c>
      <c r="N277" s="598">
        <f>IF(A256&lt;=$F$3,E277+H277-K277,0)</f>
        <v>0</v>
      </c>
      <c r="O277" s="635">
        <f>IF(A256&lt;=$F$3,F277*Q277+G277*R277+H277*S277,0)</f>
        <v>0</v>
      </c>
      <c r="P277" s="636">
        <f>IF(A256&lt;=$F$3,I277*Q277+J277*R277+K277*S277,0)</f>
        <v>0</v>
      </c>
      <c r="Q277" s="637">
        <f t="shared" si="104"/>
        <v>52550.000000000044</v>
      </c>
      <c r="R277" s="638">
        <f t="shared" si="104"/>
        <v>81020.160000000062</v>
      </c>
      <c r="S277" s="639">
        <f t="shared" si="104"/>
        <v>84960.160000000062</v>
      </c>
      <c r="T277" s="637">
        <f t="shared" si="101"/>
        <v>0</v>
      </c>
      <c r="U277" s="640" t="e">
        <f>$AH$6*(1-AE$30)*((1+HLOOKUP($A$256,FC_Premissas!$D$5:$W$16,14,FALSE)^0.0833-1))*L277*12</f>
        <v>#REF!</v>
      </c>
      <c r="V277" s="638">
        <f t="shared" si="102"/>
        <v>0</v>
      </c>
      <c r="W277" s="669" t="e">
        <f>$AP$6*(1-AM$30)*((1+HLOOKUP($A$256,FC_Premissas!$D$5:$W$16,14,FALSE))^0.0833-1)*M277*12</f>
        <v>#REF!</v>
      </c>
      <c r="X277" s="637">
        <f t="shared" si="103"/>
        <v>0</v>
      </c>
      <c r="Y277" s="640" t="e">
        <f>$AX$6*(1-AU$30)*((1+HLOOKUP($A$256,FC_Premissas!$D$5:$W$16,14,FALSE))^0.0833-1)*N277*12</f>
        <v>#REF!</v>
      </c>
      <c r="Z277" s="638">
        <f t="shared" si="100"/>
        <v>0</v>
      </c>
      <c r="AA277" s="640" t="e">
        <f t="shared" si="100"/>
        <v>#REF!</v>
      </c>
      <c r="AB277" s="641"/>
    </row>
    <row r="278" spans="1:28" x14ac:dyDescent="0.2">
      <c r="A278" s="984"/>
      <c r="B278" s="633">
        <v>20</v>
      </c>
      <c r="C278" s="616">
        <f>IF(A256&lt;=$F$3,L252,0)</f>
        <v>0</v>
      </c>
      <c r="D278" s="617">
        <f>IF(A256&lt;=$F$3,M252,0)</f>
        <v>0</v>
      </c>
      <c r="E278" s="650">
        <f>IF(A256&lt;=$F$3,N252,0)</f>
        <v>0</v>
      </c>
      <c r="F278" s="616"/>
      <c r="G278" s="617"/>
      <c r="H278" s="598"/>
      <c r="I278" s="616"/>
      <c r="J278" s="617"/>
      <c r="K278" s="598"/>
      <c r="L278" s="616">
        <f>IF(A256&lt;=$F$3,C278+F278-I278,0)</f>
        <v>0</v>
      </c>
      <c r="M278" s="617">
        <f>IF(A256&lt;=$F$3,D278+G278-J278,0)</f>
        <v>0</v>
      </c>
      <c r="N278" s="598">
        <f>IF(A256&lt;=$F$3,E278+H278-K278,0)</f>
        <v>0</v>
      </c>
      <c r="O278" s="635">
        <f>IF(A256&lt;=$F$3,F278*Q278+G278*R278+H278*S278,0)</f>
        <v>0</v>
      </c>
      <c r="P278" s="636">
        <f>IF(A256&lt;=$F$3,I278*Q278+J278*R278+K278*S278,0)</f>
        <v>0</v>
      </c>
      <c r="Q278" s="651">
        <f t="shared" si="104"/>
        <v>52550.000000000044</v>
      </c>
      <c r="R278" s="652">
        <f t="shared" si="104"/>
        <v>81020.160000000062</v>
      </c>
      <c r="S278" s="653">
        <f t="shared" si="104"/>
        <v>84960.160000000062</v>
      </c>
      <c r="T278" s="651">
        <f t="shared" si="101"/>
        <v>0</v>
      </c>
      <c r="U278" s="654" t="e">
        <f>$AH$6*(1-AE$31)*((1+HLOOKUP($A$256,FC_Premissas!$D$5:$W$16,14,FALSE)^0.0833-1))*L278*12</f>
        <v>#REF!</v>
      </c>
      <c r="V278" s="652">
        <f t="shared" si="102"/>
        <v>0</v>
      </c>
      <c r="W278" s="678" t="e">
        <f>$AP$6*(1-AM$31)*((1+HLOOKUP($A$256,FC_Premissas!$D$5:$W$16,14,FALSE))^0.0833-1)*M278*12</f>
        <v>#REF!</v>
      </c>
      <c r="X278" s="651">
        <f t="shared" si="103"/>
        <v>0</v>
      </c>
      <c r="Y278" s="654" t="e">
        <f>$AX$6*(1-AU$31)*((1+HLOOKUP($A$256,FC_Premissas!$D$5:$W$16,14,FALSE))^0.0833-1)*N278*12</f>
        <v>#REF!</v>
      </c>
      <c r="Z278" s="652">
        <f t="shared" si="100"/>
        <v>0</v>
      </c>
      <c r="AA278" s="654" t="e">
        <f t="shared" si="100"/>
        <v>#REF!</v>
      </c>
      <c r="AB278" s="641"/>
    </row>
    <row r="279" spans="1:28" x14ac:dyDescent="0.2">
      <c r="A279" s="984"/>
      <c r="B279" s="655" t="s">
        <v>1228</v>
      </c>
      <c r="C279" s="656">
        <f t="shared" ref="C279:P279" si="105">SUM(C258:C278)</f>
        <v>0</v>
      </c>
      <c r="D279" s="657">
        <f t="shared" si="105"/>
        <v>0</v>
      </c>
      <c r="E279" s="658">
        <f t="shared" si="105"/>
        <v>11</v>
      </c>
      <c r="F279" s="656">
        <f t="shared" si="105"/>
        <v>0</v>
      </c>
      <c r="G279" s="657">
        <f t="shared" si="105"/>
        <v>0</v>
      </c>
      <c r="H279" s="658">
        <f t="shared" si="105"/>
        <v>3</v>
      </c>
      <c r="I279" s="656">
        <f t="shared" si="105"/>
        <v>0</v>
      </c>
      <c r="J279" s="657">
        <f t="shared" si="105"/>
        <v>0</v>
      </c>
      <c r="K279" s="658">
        <f t="shared" si="105"/>
        <v>3</v>
      </c>
      <c r="L279" s="656">
        <f t="shared" si="105"/>
        <v>0</v>
      </c>
      <c r="M279" s="657">
        <f t="shared" si="105"/>
        <v>0</v>
      </c>
      <c r="N279" s="657">
        <f t="shared" si="105"/>
        <v>11</v>
      </c>
      <c r="O279" s="659">
        <f t="shared" si="105"/>
        <v>793440.34909090912</v>
      </c>
      <c r="P279" s="660">
        <f t="shared" si="105"/>
        <v>254880.48000000019</v>
      </c>
      <c r="Q279" s="638"/>
      <c r="R279" s="638"/>
      <c r="S279" s="638"/>
      <c r="T279" s="661">
        <f t="shared" ref="T279:AA279" si="106">SUM(T258:T278)</f>
        <v>0</v>
      </c>
      <c r="U279" s="662" t="e">
        <f t="shared" si="106"/>
        <v>#REF!</v>
      </c>
      <c r="V279" s="663">
        <f t="shared" si="106"/>
        <v>0</v>
      </c>
      <c r="W279" s="662" t="e">
        <f t="shared" si="106"/>
        <v>#REF!</v>
      </c>
      <c r="X279" s="663">
        <f t="shared" si="106"/>
        <v>323135.92145454546</v>
      </c>
      <c r="Y279" s="662" t="e">
        <f t="shared" si="106"/>
        <v>#REF!</v>
      </c>
      <c r="Z279" s="663">
        <f t="shared" si="106"/>
        <v>323135.92145454546</v>
      </c>
      <c r="AA279" s="664" t="e">
        <f t="shared" si="106"/>
        <v>#REF!</v>
      </c>
      <c r="AB279" s="641"/>
    </row>
    <row r="280" spans="1:28" x14ac:dyDescent="0.2">
      <c r="A280" s="985"/>
      <c r="B280" s="977" t="s">
        <v>1229</v>
      </c>
      <c r="C280" s="977"/>
      <c r="D280" s="977"/>
      <c r="E280" s="666">
        <f>(L280*L279+M280*M279+N280*N279)/(L279+M279+N279)</f>
        <v>8</v>
      </c>
      <c r="F280" s="665" t="s">
        <v>140</v>
      </c>
      <c r="G280" s="665"/>
      <c r="H280" s="665"/>
      <c r="I280" s="665"/>
      <c r="J280" s="665"/>
      <c r="K280" s="665"/>
      <c r="L280" s="887">
        <f>IF(L279=0,0,(SUMPRODUCT(L258:L278,$B258:$B278)/L279))</f>
        <v>0</v>
      </c>
      <c r="M280" s="887">
        <f>IF(M279=0,0,(SUMPRODUCT(M258:M278,$B258:$B278)/M279))</f>
        <v>0</v>
      </c>
      <c r="N280" s="887">
        <f>IF(N279=0,0,ROUND(SUMPRODUCT(N258:N278,$B258:$B278)/N279,0))</f>
        <v>8</v>
      </c>
      <c r="O280" s="667"/>
      <c r="P280" s="668"/>
      <c r="Q280" s="638"/>
      <c r="R280" s="638"/>
      <c r="S280" s="638"/>
      <c r="T280" s="638"/>
      <c r="U280" s="669"/>
      <c r="V280" s="638"/>
      <c r="W280" s="669"/>
      <c r="X280" s="638"/>
      <c r="Y280" s="669"/>
      <c r="Z280" s="638"/>
      <c r="AA280" s="669"/>
    </row>
    <row r="281" spans="1:28" ht="12.75" customHeight="1" x14ac:dyDescent="0.2">
      <c r="A281" s="983">
        <f>A256+1</f>
        <v>12</v>
      </c>
      <c r="B281" s="986" t="s">
        <v>1077</v>
      </c>
      <c r="C281" s="988" t="s">
        <v>1202</v>
      </c>
      <c r="D281" s="989"/>
      <c r="E281" s="990"/>
      <c r="F281" s="991" t="s">
        <v>1203</v>
      </c>
      <c r="G281" s="992"/>
      <c r="H281" s="993"/>
      <c r="I281" s="991" t="s">
        <v>1204</v>
      </c>
      <c r="J281" s="992"/>
      <c r="K281" s="993"/>
      <c r="L281" s="991" t="s">
        <v>1205</v>
      </c>
      <c r="M281" s="992"/>
      <c r="N281" s="992"/>
      <c r="O281" s="978" t="s">
        <v>1206</v>
      </c>
      <c r="P281" s="979"/>
      <c r="Q281" s="980" t="s">
        <v>1207</v>
      </c>
      <c r="R281" s="981"/>
      <c r="S281" s="982"/>
      <c r="T281" s="607" t="s">
        <v>1208</v>
      </c>
      <c r="U281" s="609" t="s">
        <v>1209</v>
      </c>
      <c r="V281" s="608" t="s">
        <v>1210</v>
      </c>
      <c r="W281" s="610" t="s">
        <v>1211</v>
      </c>
      <c r="X281" s="607" t="s">
        <v>1210</v>
      </c>
      <c r="Y281" s="609" t="s">
        <v>1211</v>
      </c>
      <c r="Z281" s="607" t="s">
        <v>1210</v>
      </c>
      <c r="AA281" s="609" t="s">
        <v>1211</v>
      </c>
    </row>
    <row r="282" spans="1:28" x14ac:dyDescent="0.2">
      <c r="A282" s="984"/>
      <c r="B282" s="987"/>
      <c r="C282" s="616" t="str">
        <f>$C$7</f>
        <v>Mini</v>
      </c>
      <c r="D282" s="617" t="str">
        <f>$D$7</f>
        <v>Midi</v>
      </c>
      <c r="E282" s="617" t="str">
        <f>$E$7</f>
        <v>Básico</v>
      </c>
      <c r="F282" s="616" t="str">
        <f>$C$7</f>
        <v>Mini</v>
      </c>
      <c r="G282" s="617" t="str">
        <f>$D$7</f>
        <v>Midi</v>
      </c>
      <c r="H282" s="617" t="str">
        <f>$E$7</f>
        <v>Básico</v>
      </c>
      <c r="I282" s="616" t="str">
        <f>$C$7</f>
        <v>Mini</v>
      </c>
      <c r="J282" s="617" t="str">
        <f>$D$7</f>
        <v>Midi</v>
      </c>
      <c r="K282" s="617" t="str">
        <f>$E$7</f>
        <v>Básico</v>
      </c>
      <c r="L282" s="616" t="str">
        <f>$C$7</f>
        <v>Mini</v>
      </c>
      <c r="M282" s="617" t="str">
        <f>$D$7</f>
        <v>Midi</v>
      </c>
      <c r="N282" s="617" t="str">
        <f>$E$7</f>
        <v>Básico</v>
      </c>
      <c r="O282" s="667" t="s">
        <v>1203</v>
      </c>
      <c r="P282" s="668" t="s">
        <v>1204</v>
      </c>
      <c r="Q282" s="620" t="str">
        <f>C282</f>
        <v>Mini</v>
      </c>
      <c r="R282" s="621" t="str">
        <f>D282</f>
        <v>Midi</v>
      </c>
      <c r="S282" s="622" t="str">
        <f>E282</f>
        <v>Básico</v>
      </c>
      <c r="T282" s="623" t="str">
        <f>C282</f>
        <v>Mini</v>
      </c>
      <c r="U282" s="624" t="str">
        <f>C282</f>
        <v>Mini</v>
      </c>
      <c r="V282" s="625" t="str">
        <f>D282</f>
        <v>Midi</v>
      </c>
      <c r="W282" s="626" t="str">
        <f>D282</f>
        <v>Midi</v>
      </c>
      <c r="X282" s="623" t="str">
        <f>E282</f>
        <v>Básico</v>
      </c>
      <c r="Y282" s="624" t="str">
        <f>E282</f>
        <v>Básico</v>
      </c>
      <c r="Z282" s="627" t="s">
        <v>1218</v>
      </c>
      <c r="AA282" s="628" t="s">
        <v>1218</v>
      </c>
    </row>
    <row r="283" spans="1:28" x14ac:dyDescent="0.2">
      <c r="A283" s="984"/>
      <c r="B283" s="633">
        <v>0</v>
      </c>
      <c r="C283" s="634">
        <v>0</v>
      </c>
      <c r="F283" s="965"/>
      <c r="G283" s="966"/>
      <c r="H283" s="675"/>
      <c r="I283" s="598"/>
      <c r="J283" s="598"/>
      <c r="K283" s="676"/>
      <c r="L283" s="634">
        <f>IF(A281&lt;=$F$3,C283+F283-I283,0)</f>
        <v>0</v>
      </c>
      <c r="M283" s="598">
        <f>IF(A281&lt;=$F$3,D283+G283-J283,0)</f>
        <v>0</v>
      </c>
      <c r="N283" s="598">
        <f>IF(A281&lt;=$F$3,E283+H283-K283,0)</f>
        <v>0</v>
      </c>
      <c r="O283" s="635">
        <f>IF(A281&lt;=$F$3,F283*Q283+G283*R283+H283*S283,0)</f>
        <v>0</v>
      </c>
      <c r="P283" s="636">
        <f>IF(A281&lt;=$F$3,I283*Q283+J283*R283+K283*S283,0)</f>
        <v>0</v>
      </c>
      <c r="Q283" s="637">
        <f t="shared" ref="Q283:S298" si="107">Q258</f>
        <v>525500</v>
      </c>
      <c r="R283" s="638">
        <f t="shared" si="107"/>
        <v>703800</v>
      </c>
      <c r="S283" s="639">
        <f t="shared" si="107"/>
        <v>743200</v>
      </c>
      <c r="T283" s="637">
        <f>L283*$AH$6*AD$12</f>
        <v>0</v>
      </c>
      <c r="U283" s="640" t="e">
        <f>$AH$6*(1-AE$11)*((1+HLOOKUP($A$281,FC_Premissas!$D$5:$W$16,14,FALSE)^0.0833-1))*L283*12</f>
        <v>#REF!</v>
      </c>
      <c r="V283" s="638">
        <f>M283*$AP$6*AL$12</f>
        <v>0</v>
      </c>
      <c r="W283" s="669" t="e">
        <f>$AP$6*(1-AM$11)*((1+HLOOKUP($A$281,FC_Premissas!$D$5:$W$16,14,FALSE)^0.0833-1))*M283*12</f>
        <v>#REF!</v>
      </c>
      <c r="X283" s="637">
        <f>N283*$AX$6*AT$12</f>
        <v>0</v>
      </c>
      <c r="Y283" s="640" t="e">
        <f>$AX$6*(1-AU$11)*((1+HLOOKUP($A$281,FC_Premissas!$D$5:$W$16,14,FALSE)^0.0833-1))*N283*12</f>
        <v>#REF!</v>
      </c>
      <c r="Z283" s="638">
        <f t="shared" ref="Z283:AA303" si="108">T283+V283+X283</f>
        <v>0</v>
      </c>
      <c r="AA283" s="669" t="e">
        <f t="shared" si="108"/>
        <v>#REF!</v>
      </c>
      <c r="AB283" s="641"/>
    </row>
    <row r="284" spans="1:28" x14ac:dyDescent="0.2">
      <c r="A284" s="984"/>
      <c r="B284" s="633">
        <v>1</v>
      </c>
      <c r="C284" s="634">
        <f>IF(A281&lt;=$F$3,L258,0)</f>
        <v>0</v>
      </c>
      <c r="D284" s="598">
        <f>IF(A281&lt;=$F$3,M258,0)</f>
        <v>0</v>
      </c>
      <c r="E284" s="598">
        <f>IF(A281&lt;=$F$3,N258,0)</f>
        <v>0</v>
      </c>
      <c r="F284" s="634"/>
      <c r="G284" s="598"/>
      <c r="H284" s="677"/>
      <c r="I284" s="598"/>
      <c r="J284" s="598"/>
      <c r="K284" s="676"/>
      <c r="L284" s="634">
        <f>IF(A281&lt;=$F$3,C284+F284-I284,0)</f>
        <v>0</v>
      </c>
      <c r="M284" s="598">
        <f>IF(A281&lt;=$F$3,D284+G284-J284,0)</f>
        <v>0</v>
      </c>
      <c r="N284" s="598">
        <f>IF(A281&lt;=$F$3,E284+H284-K284,0)</f>
        <v>0</v>
      </c>
      <c r="O284" s="635">
        <f>IF(A281&lt;=$F$3,F284*Q284+G284*R284+H284*S284,0)</f>
        <v>0</v>
      </c>
      <c r="P284" s="636">
        <f>IF(A281&lt;=$F$3,I284*Q284+J284*R284+K284*S284,0)</f>
        <v>0</v>
      </c>
      <c r="Q284" s="637">
        <f t="shared" si="107"/>
        <v>439509.09090909094</v>
      </c>
      <c r="R284" s="638">
        <f t="shared" si="107"/>
        <v>590567.30181818188</v>
      </c>
      <c r="S284" s="639">
        <f t="shared" si="107"/>
        <v>623520.02909090917</v>
      </c>
      <c r="T284" s="637">
        <f>L284*$AH$6*AD$13</f>
        <v>0</v>
      </c>
      <c r="U284" s="640" t="e">
        <f>$AH$6*(1-AE$12)*((1+HLOOKUP($A$281,FC_Premissas!$D$5:$W$16,14,FALSE)^0.0833-1))*L284*12</f>
        <v>#REF!</v>
      </c>
      <c r="V284" s="638">
        <f>M284*$AP$6*AL$13</f>
        <v>0</v>
      </c>
      <c r="W284" s="669" t="e">
        <f>$AP$6*(1-AM$12)*((1+HLOOKUP($A$281,FC_Premissas!$D$5:$W$16,14,FALSE))^0.0833-1)*M284*12</f>
        <v>#REF!</v>
      </c>
      <c r="X284" s="637">
        <f>N284*$AX$6*AT$13</f>
        <v>0</v>
      </c>
      <c r="Y284" s="640" t="e">
        <f>$AX$6*(1-AU$12)*((1+HLOOKUP($A$281,FC_Premissas!$D$5:$W$16,14,FALSE))^0.0833-1)*N284*12</f>
        <v>#REF!</v>
      </c>
      <c r="Z284" s="638">
        <f t="shared" si="108"/>
        <v>0</v>
      </c>
      <c r="AA284" s="669" t="e">
        <f t="shared" si="108"/>
        <v>#REF!</v>
      </c>
      <c r="AB284" s="641"/>
    </row>
    <row r="285" spans="1:28" x14ac:dyDescent="0.2">
      <c r="A285" s="984"/>
      <c r="B285" s="633">
        <v>2</v>
      </c>
      <c r="C285" s="634">
        <f>IF(A281&lt;=$F$3,L259,0)</f>
        <v>0</v>
      </c>
      <c r="D285" s="598">
        <f>IF(A281&lt;=$F$3,M259,0)</f>
        <v>0</v>
      </c>
      <c r="E285" s="598">
        <f>IF(A281&lt;=$F$3,N259,0)</f>
        <v>0</v>
      </c>
      <c r="F285" s="634"/>
      <c r="G285" s="598"/>
      <c r="H285" s="677"/>
      <c r="I285" s="598"/>
      <c r="J285" s="598"/>
      <c r="K285" s="676"/>
      <c r="L285" s="634">
        <f>IF(A281&lt;=$F$3,C285+F285-I285,0)</f>
        <v>0</v>
      </c>
      <c r="M285" s="598">
        <f>IF(A281&lt;=$F$3,D285+G285-J285,0)</f>
        <v>0</v>
      </c>
      <c r="N285" s="598">
        <f>IF(A281&lt;=$F$3,E285+H285-K285,0)</f>
        <v>0</v>
      </c>
      <c r="O285" s="635">
        <f>IF(A281&lt;=$F$3,F285*Q285+G285*R285+H285*S285,0)</f>
        <v>0</v>
      </c>
      <c r="P285" s="636">
        <f>IF(A281&lt;=$F$3,I285*Q285+J285*R285+K285*S285,0)</f>
        <v>0</v>
      </c>
      <c r="Q285" s="637">
        <f t="shared" si="107"/>
        <v>362117.27272727271</v>
      </c>
      <c r="R285" s="638">
        <f t="shared" si="107"/>
        <v>488657.87345454545</v>
      </c>
      <c r="S285" s="639">
        <f t="shared" si="107"/>
        <v>515808.05527272727</v>
      </c>
      <c r="T285" s="637">
        <f>L285*$AH$6*AD$14</f>
        <v>0</v>
      </c>
      <c r="U285" s="640" t="e">
        <f>$AH$6*(1-AE$13)*((1+HLOOKUP($A$281,FC_Premissas!$D$5:$W$16,14,FALSE)^0.0833-1))*L285*12</f>
        <v>#REF!</v>
      </c>
      <c r="V285" s="638">
        <f>M285*$AP$6*AL$14</f>
        <v>0</v>
      </c>
      <c r="W285" s="669" t="e">
        <f>$AP$6*(1-AM$13)*((1+HLOOKUP($A$281,FC_Premissas!$D$5:$W$16,14,FALSE))^0.0833-1)*M285*12</f>
        <v>#REF!</v>
      </c>
      <c r="X285" s="637">
        <f>N285*$AX$6*AT$14</f>
        <v>0</v>
      </c>
      <c r="Y285" s="640" t="e">
        <f>$AX$6*(1-AU$13)*((1+HLOOKUP($A$281,FC_Premissas!$D$5:$W$16,14,FALSE))^0.0833-1)*N285*12</f>
        <v>#REF!</v>
      </c>
      <c r="Z285" s="638">
        <f t="shared" si="108"/>
        <v>0</v>
      </c>
      <c r="AA285" s="669" t="e">
        <f t="shared" si="108"/>
        <v>#REF!</v>
      </c>
      <c r="AB285" s="641"/>
    </row>
    <row r="286" spans="1:28" x14ac:dyDescent="0.2">
      <c r="A286" s="984"/>
      <c r="B286" s="633">
        <v>3</v>
      </c>
      <c r="C286" s="634">
        <f>IF(A281&lt;=$F$3,L260,0)</f>
        <v>0</v>
      </c>
      <c r="D286" s="598">
        <f>IF(A281&lt;=$F$3,M260,0)</f>
        <v>0</v>
      </c>
      <c r="E286" s="598">
        <f>IF(A281&lt;=$F$3,N260,0)</f>
        <v>0</v>
      </c>
      <c r="F286" s="634"/>
      <c r="G286" s="598"/>
      <c r="H286" s="677"/>
      <c r="I286" s="598"/>
      <c r="J286" s="598"/>
      <c r="K286" s="676"/>
      <c r="L286" s="634">
        <f>IF(A281&lt;=$F$3,C286+F286-I286,0)</f>
        <v>0</v>
      </c>
      <c r="M286" s="598">
        <f>IF(A281&lt;=$F$3,D286+G286-J286,0)</f>
        <v>0</v>
      </c>
      <c r="N286" s="598">
        <f>IF(A281&lt;=$F$3,E286+H286-K286,0)</f>
        <v>0</v>
      </c>
      <c r="O286" s="635">
        <f>IF(A281&lt;=$F$3,F286*Q286+G286*R286+H286*S286,0)</f>
        <v>0</v>
      </c>
      <c r="P286" s="636">
        <f>IF(A281&lt;=$F$3,I286*Q286+J286*R286+K286*S286,0)</f>
        <v>0</v>
      </c>
      <c r="Q286" s="637">
        <f t="shared" si="107"/>
        <v>293324.54545454541</v>
      </c>
      <c r="R286" s="638">
        <f t="shared" si="107"/>
        <v>398071.71490909089</v>
      </c>
      <c r="S286" s="639">
        <f t="shared" si="107"/>
        <v>420064.07854545448</v>
      </c>
      <c r="T286" s="637">
        <f>L286*$AH$6*AD$15</f>
        <v>0</v>
      </c>
      <c r="U286" s="640" t="e">
        <f>$AH$6*(1-AE$14)*((1+HLOOKUP($A$281,FC_Premissas!$D$5:$W$16,14,FALSE)^0.0833-1))*L286*12</f>
        <v>#REF!</v>
      </c>
      <c r="V286" s="638">
        <f>M286*$AP$6*AL$15</f>
        <v>0</v>
      </c>
      <c r="W286" s="669" t="e">
        <f>$AP$6*(1-AM$14)*((1+HLOOKUP($A$281,FC_Premissas!$D$5:$W$16,14,FALSE))^0.0833-1)*M286*12</f>
        <v>#REF!</v>
      </c>
      <c r="X286" s="637">
        <f>N286*$AX$6*AT$15</f>
        <v>0</v>
      </c>
      <c r="Y286" s="640" t="e">
        <f>$AX$6*(1-AU$14)*((1+HLOOKUP($A$281,FC_Premissas!$D$5:$W$16,14,FALSE))^0.0833-1)*N286*12</f>
        <v>#REF!</v>
      </c>
      <c r="Z286" s="638">
        <f t="shared" si="108"/>
        <v>0</v>
      </c>
      <c r="AA286" s="669" t="e">
        <f t="shared" si="108"/>
        <v>#REF!</v>
      </c>
      <c r="AB286" s="641"/>
    </row>
    <row r="287" spans="1:28" x14ac:dyDescent="0.2">
      <c r="A287" s="984"/>
      <c r="B287" s="633">
        <v>4</v>
      </c>
      <c r="C287" s="634">
        <f>IF(A281&lt;=$F$3,L261,0)</f>
        <v>0</v>
      </c>
      <c r="D287" s="598">
        <f>IF(A281&lt;=$F$3,M261,0)</f>
        <v>0</v>
      </c>
      <c r="E287" s="598">
        <f>IF(A281&lt;=$F$3,N261,0)</f>
        <v>0</v>
      </c>
      <c r="F287" s="634"/>
      <c r="G287" s="598"/>
      <c r="H287" s="677"/>
      <c r="I287" s="598"/>
      <c r="J287" s="598"/>
      <c r="K287" s="676"/>
      <c r="L287" s="634">
        <f>IF(A281&lt;=$F$3,C287+F287-I287,0)</f>
        <v>0</v>
      </c>
      <c r="M287" s="598">
        <f>IF(A281&lt;=$F$3,D287+G287-J287,0)</f>
        <v>0</v>
      </c>
      <c r="N287" s="598">
        <f>IF(A281&lt;=$F$3,E287+H287-K287,0)</f>
        <v>0</v>
      </c>
      <c r="O287" s="635">
        <f>IF(A281&lt;=$F$3,F287*Q287+G287*R287+H287*S287,0)</f>
        <v>0</v>
      </c>
      <c r="P287" s="636">
        <f>IF(A281&lt;=$F$3,I287*Q287+J287*R287+K287*S287,0)</f>
        <v>0</v>
      </c>
      <c r="Q287" s="637">
        <f t="shared" si="107"/>
        <v>233130.90909090909</v>
      </c>
      <c r="R287" s="638">
        <f t="shared" si="107"/>
        <v>318808.82618181815</v>
      </c>
      <c r="S287" s="639">
        <f t="shared" si="107"/>
        <v>336288.09890909091</v>
      </c>
      <c r="T287" s="637">
        <f>L287*$AH$6*AD$16</f>
        <v>0</v>
      </c>
      <c r="U287" s="640" t="e">
        <f>$AH$6*(1-AE$15)*((1+HLOOKUP($A$281,FC_Premissas!$D$5:$W$16,14,FALSE)^0.0833-1))*L287*12</f>
        <v>#REF!</v>
      </c>
      <c r="V287" s="638">
        <f>M287*$AP$6*AL$16</f>
        <v>0</v>
      </c>
      <c r="W287" s="669" t="e">
        <f>$AP$6*(1-AM$15)*((1+HLOOKUP($A$281,FC_Premissas!$D$5:$W$16,14,FALSE))^0.0833-1)*M287*12</f>
        <v>#REF!</v>
      </c>
      <c r="X287" s="637">
        <f>N287*$AX$6*AT$16</f>
        <v>0</v>
      </c>
      <c r="Y287" s="640" t="e">
        <f>$AX$6*(1-AU$15)*((1+HLOOKUP($A$281,FC_Premissas!$D$5:$W$16,14,FALSE))^0.0833-1)*N287*12</f>
        <v>#REF!</v>
      </c>
      <c r="Z287" s="638">
        <f t="shared" si="108"/>
        <v>0</v>
      </c>
      <c r="AA287" s="669" t="e">
        <f t="shared" si="108"/>
        <v>#REF!</v>
      </c>
      <c r="AB287" s="641"/>
    </row>
    <row r="288" spans="1:28" x14ac:dyDescent="0.2">
      <c r="A288" s="984"/>
      <c r="B288" s="633">
        <v>5</v>
      </c>
      <c r="C288" s="634">
        <f>IF(A281&lt;=$F$3,L262,0)</f>
        <v>0</v>
      </c>
      <c r="D288" s="598">
        <f>IF(A281&lt;=$F$3,M262,0)</f>
        <v>0</v>
      </c>
      <c r="E288" s="598">
        <f>IF(A281&lt;=$F$3,N262,0)</f>
        <v>0</v>
      </c>
      <c r="F288" s="634"/>
      <c r="G288" s="598"/>
      <c r="H288" s="677">
        <v>1</v>
      </c>
      <c r="I288" s="598"/>
      <c r="J288" s="598"/>
      <c r="K288" s="676"/>
      <c r="L288" s="634">
        <f>IF(A281&lt;=$F$3,C288+F288-I288,0)</f>
        <v>0</v>
      </c>
      <c r="M288" s="598">
        <f>IF(A281&lt;=$F$3,D288+G288-J288,0)</f>
        <v>0</v>
      </c>
      <c r="N288" s="598">
        <f>IF(A281&lt;=$F$3,E288+H288-K288,0)</f>
        <v>1</v>
      </c>
      <c r="O288" s="635">
        <f>IF(A281&lt;=$F$3,F288*Q288+G288*R288+H288*S288,0)</f>
        <v>264480.11636363639</v>
      </c>
      <c r="P288" s="636">
        <f>IF(A281&lt;=$F$3,I288*Q288+J288*R288+K288*S288,0)</f>
        <v>0</v>
      </c>
      <c r="Q288" s="637">
        <f t="shared" si="107"/>
        <v>181536.36363636365</v>
      </c>
      <c r="R288" s="638">
        <f t="shared" si="107"/>
        <v>250869.20727272728</v>
      </c>
      <c r="S288" s="639">
        <f t="shared" si="107"/>
        <v>264480.11636363639</v>
      </c>
      <c r="T288" s="637">
        <f>L288*$AH$6*AD$17</f>
        <v>0</v>
      </c>
      <c r="U288" s="640" t="e">
        <f>$AH$6*(1-AE$16)*((1+HLOOKUP($A$281,FC_Premissas!$D$5:$W$16,14,FALSE)^0.0833-1))*L288*12</f>
        <v>#REF!</v>
      </c>
      <c r="V288" s="638">
        <f>M288*$AP$6*AL$17</f>
        <v>0</v>
      </c>
      <c r="W288" s="669" t="e">
        <f>$AP$6*(1-AM$16)*((1+HLOOKUP($A$281,FC_Premissas!$D$5:$W$16,14,FALSE))^0.0833-1)*M288*12</f>
        <v>#REF!</v>
      </c>
      <c r="X288" s="637">
        <f>N288*$AX$6*AT$17</f>
        <v>59839.985454545451</v>
      </c>
      <c r="Y288" s="640" t="e">
        <f>$AX$6*(1-AU$16)*((1+HLOOKUP($A$281,FC_Premissas!$D$5:$W$16,14,FALSE))^0.0833-1)*N288*12</f>
        <v>#REF!</v>
      </c>
      <c r="Z288" s="638">
        <f t="shared" si="108"/>
        <v>59839.985454545451</v>
      </c>
      <c r="AA288" s="669" t="e">
        <f t="shared" si="108"/>
        <v>#REF!</v>
      </c>
      <c r="AB288" s="641"/>
    </row>
    <row r="289" spans="1:28" x14ac:dyDescent="0.2">
      <c r="A289" s="984"/>
      <c r="B289" s="633">
        <v>6</v>
      </c>
      <c r="C289" s="634">
        <f>IF(A281&lt;=$F$3,L263,0)</f>
        <v>0</v>
      </c>
      <c r="D289" s="598">
        <f>IF(A281&lt;=$F$3,M263,0)</f>
        <v>0</v>
      </c>
      <c r="E289" s="598">
        <f>IF(A281&lt;=$F$3,N263,0)</f>
        <v>3</v>
      </c>
      <c r="F289" s="634"/>
      <c r="G289" s="598"/>
      <c r="H289" s="650"/>
      <c r="I289" s="598"/>
      <c r="J289" s="598"/>
      <c r="K289" s="676"/>
      <c r="L289" s="634">
        <f>IF(A281&lt;=$F$3,C289+F289-I289,0)</f>
        <v>0</v>
      </c>
      <c r="M289" s="598">
        <f>IF(A281&lt;=$F$3,D289+G289-J289,0)</f>
        <v>0</v>
      </c>
      <c r="N289" s="598">
        <f>IF(A281&lt;=$F$3,E289+H289-K289,0)</f>
        <v>3</v>
      </c>
      <c r="O289" s="635">
        <f>IF(A281&lt;=$F$3,F289*Q289+G289*R289+H289*S289,0)</f>
        <v>0</v>
      </c>
      <c r="P289" s="636">
        <f>IF(A281&lt;=$F$3,I289*Q289+J289*R289+K289*S289,0)</f>
        <v>0</v>
      </c>
      <c r="Q289" s="637">
        <f t="shared" si="107"/>
        <v>138540.90909090912</v>
      </c>
      <c r="R289" s="638">
        <f t="shared" si="107"/>
        <v>194252.85818181818</v>
      </c>
      <c r="S289" s="639">
        <f t="shared" si="107"/>
        <v>204640.13090909092</v>
      </c>
      <c r="T289" s="637">
        <f>L289*$AH$6*AD$18</f>
        <v>0</v>
      </c>
      <c r="U289" s="640" t="e">
        <f>$AH$6*(1-AE$17)*((1+HLOOKUP($A$281,FC_Premissas!$D$5:$W$16,14,FALSE)^0.0833-1))*L289*12</f>
        <v>#REF!</v>
      </c>
      <c r="V289" s="638">
        <f>M289*$AP$6*AL$18</f>
        <v>0</v>
      </c>
      <c r="W289" s="669" t="e">
        <f>$AP$6*(1-AM$17)*((1+HLOOKUP($A$281,FC_Premissas!$D$5:$W$16,14,FALSE))^0.0833-1)*M289*12</f>
        <v>#REF!</v>
      </c>
      <c r="X289" s="637">
        <f>N289*$AX$6*AT$18</f>
        <v>143615.9650909091</v>
      </c>
      <c r="Y289" s="640" t="e">
        <f>$AX$6*(1-AU$17)*((1+HLOOKUP($A$281,FC_Premissas!$D$5:$W$16,14,FALSE))^0.0833-1)*N289*12</f>
        <v>#REF!</v>
      </c>
      <c r="Z289" s="638">
        <f t="shared" si="108"/>
        <v>143615.9650909091</v>
      </c>
      <c r="AA289" s="669" t="e">
        <f t="shared" si="108"/>
        <v>#REF!</v>
      </c>
      <c r="AB289" s="641"/>
    </row>
    <row r="290" spans="1:28" x14ac:dyDescent="0.2">
      <c r="A290" s="984"/>
      <c r="B290" s="633">
        <v>7</v>
      </c>
      <c r="C290" s="634">
        <f>IF(A281&lt;=$F$3,L264,0)</f>
        <v>0</v>
      </c>
      <c r="D290" s="598">
        <f>IF(A281&lt;=$F$3,M264,0)</f>
        <v>0</v>
      </c>
      <c r="E290" s="598">
        <f>IF(A281&lt;=$F$3,N264,0)</f>
        <v>0</v>
      </c>
      <c r="F290" s="634"/>
      <c r="G290" s="598"/>
      <c r="H290" s="650"/>
      <c r="I290" s="598"/>
      <c r="J290" s="598"/>
      <c r="K290" s="676"/>
      <c r="L290" s="634">
        <f>IF(A281&lt;=$F$3,C290+F290-I290,0)</f>
        <v>0</v>
      </c>
      <c r="M290" s="598">
        <f>IF(A281&lt;=$F$3,D290+G290-J290,0)</f>
        <v>0</v>
      </c>
      <c r="N290" s="598">
        <f>IF(A281&lt;=$F$3,E290+H290-K290,0)</f>
        <v>0</v>
      </c>
      <c r="O290" s="635">
        <f>IF(A281&lt;=$F$3,F290*Q290+G290*R290+H290*S290,0)</f>
        <v>0</v>
      </c>
      <c r="P290" s="636">
        <f>IF(A281&lt;=$F$3,I290*Q290+J290*R290+K290*S290,0)</f>
        <v>0</v>
      </c>
      <c r="Q290" s="637">
        <f t="shared" si="107"/>
        <v>104144.54545454548</v>
      </c>
      <c r="R290" s="638">
        <f t="shared" si="107"/>
        <v>148959.77890909094</v>
      </c>
      <c r="S290" s="639">
        <f t="shared" si="107"/>
        <v>156768.14254545458</v>
      </c>
      <c r="T290" s="637">
        <f>L290*$AH$6*AD$19</f>
        <v>0</v>
      </c>
      <c r="U290" s="640" t="e">
        <f>$AH$6*(1-AE$18)*((1+HLOOKUP($A$281,FC_Premissas!$D$5:$W$16,14,FALSE)^0.0833-1))*L290*12</f>
        <v>#REF!</v>
      </c>
      <c r="V290" s="638">
        <f>M290*$AP$6*AL$19</f>
        <v>0</v>
      </c>
      <c r="W290" s="669" t="e">
        <f>$AP$6*(1-AM$18)*((1+HLOOKUP($A$281,FC_Premissas!$D$5:$W$16,14,FALSE))^0.0833-1)*M290*12</f>
        <v>#REF!</v>
      </c>
      <c r="X290" s="637">
        <f>N290*$AX$6*AT$19</f>
        <v>0</v>
      </c>
      <c r="Y290" s="640" t="e">
        <f>$AX$6*(1-AU$18)*((1+HLOOKUP($A$281,FC_Premissas!$D$5:$W$16,14,FALSE))^0.0833-1)*N290*12</f>
        <v>#REF!</v>
      </c>
      <c r="Z290" s="638">
        <f t="shared" si="108"/>
        <v>0</v>
      </c>
      <c r="AA290" s="669" t="e">
        <f t="shared" si="108"/>
        <v>#REF!</v>
      </c>
      <c r="AB290" s="641"/>
    </row>
    <row r="291" spans="1:28" x14ac:dyDescent="0.2">
      <c r="A291" s="984"/>
      <c r="B291" s="633">
        <v>8</v>
      </c>
      <c r="C291" s="634">
        <f>IF(A281&lt;=$F$3,L265,0)</f>
        <v>0</v>
      </c>
      <c r="D291" s="598">
        <f>IF(A281&lt;=$F$3,M265,0)</f>
        <v>0</v>
      </c>
      <c r="E291" s="598">
        <f>IF(A281&lt;=$F$3,N265,0)</f>
        <v>2</v>
      </c>
      <c r="F291" s="634"/>
      <c r="G291" s="598"/>
      <c r="H291" s="650"/>
      <c r="I291" s="598"/>
      <c r="J291" s="598"/>
      <c r="K291" s="676"/>
      <c r="L291" s="634">
        <f>IF(A281&lt;=$F$3,C291+F291-I291,0)</f>
        <v>0</v>
      </c>
      <c r="M291" s="598">
        <f>IF(A281&lt;=$F$3,D291+G291-J291,0)</f>
        <v>0</v>
      </c>
      <c r="N291" s="598">
        <f>IF(A281&lt;=$F$3,E291+H291-K291,0)</f>
        <v>2</v>
      </c>
      <c r="O291" s="635">
        <f>IF(A281&lt;=$F$3,F291*Q291+G291*R291+H291*S291,0)</f>
        <v>0</v>
      </c>
      <c r="P291" s="636">
        <f>IF(A281&lt;=$F$3,I291*Q291+J291*R291+K291*S291,0)</f>
        <v>0</v>
      </c>
      <c r="Q291" s="637">
        <f t="shared" si="107"/>
        <v>78347.272727272764</v>
      </c>
      <c r="R291" s="638">
        <f t="shared" si="107"/>
        <v>114989.9694545455</v>
      </c>
      <c r="S291" s="639">
        <f t="shared" si="107"/>
        <v>120864.15127272732</v>
      </c>
      <c r="T291" s="637">
        <f>L291*$AH$6*AD$20</f>
        <v>0</v>
      </c>
      <c r="U291" s="640" t="e">
        <f>$AH$6*(1-AE$19)*((1+HLOOKUP($A$281,FC_Premissas!$D$5:$W$16,14,FALSE)^0.0833-1))*L291*12</f>
        <v>#REF!</v>
      </c>
      <c r="V291" s="638">
        <f>M291*$AP$6*AL$20</f>
        <v>0</v>
      </c>
      <c r="W291" s="669" t="e">
        <f>$AP$6*(1-AM$19)*((1+HLOOKUP($A$281,FC_Premissas!$D$5:$W$16,14,FALSE))^0.0833-1)*M291*12</f>
        <v>#REF!</v>
      </c>
      <c r="X291" s="637">
        <f>N291*$AX$6*AT$20</f>
        <v>47871.988363636367</v>
      </c>
      <c r="Y291" s="640" t="e">
        <f>$AX$6*(1-AU$19)*((1+HLOOKUP($A$281,FC_Premissas!$D$5:$W$16,14,FALSE))^0.0833-1)*N291*12</f>
        <v>#REF!</v>
      </c>
      <c r="Z291" s="638">
        <f t="shared" si="108"/>
        <v>47871.988363636367</v>
      </c>
      <c r="AA291" s="669" t="e">
        <f t="shared" si="108"/>
        <v>#REF!</v>
      </c>
      <c r="AB291" s="641"/>
    </row>
    <row r="292" spans="1:28" x14ac:dyDescent="0.2">
      <c r="A292" s="984"/>
      <c r="B292" s="633">
        <v>9</v>
      </c>
      <c r="C292" s="634">
        <f>IF(A281&lt;=$F$3,L266,0)</f>
        <v>0</v>
      </c>
      <c r="D292" s="598">
        <f>IF(A281&lt;=$F$3,M266,0)</f>
        <v>0</v>
      </c>
      <c r="E292" s="598">
        <f>IF(A281&lt;=$F$3,N266,0)</f>
        <v>2</v>
      </c>
      <c r="F292" s="634"/>
      <c r="G292" s="598"/>
      <c r="H292" s="650"/>
      <c r="I292" s="598"/>
      <c r="J292" s="598"/>
      <c r="K292" s="676"/>
      <c r="L292" s="634">
        <f>IF(A281&lt;=$F$3,C292+F292-I292,0)</f>
        <v>0</v>
      </c>
      <c r="M292" s="598">
        <f>IF(A281&lt;=$F$3,D292+G292-J292,0)</f>
        <v>0</v>
      </c>
      <c r="N292" s="598">
        <f>IF(A281&lt;=$F$3,E292+H292-K292,0)</f>
        <v>2</v>
      </c>
      <c r="O292" s="635">
        <f>IF(A281&lt;=$F$3,F292*Q292+G292*R292+H292*S292,0)</f>
        <v>0</v>
      </c>
      <c r="P292" s="636">
        <f>IF(A281&lt;=$F$3,I292*Q292+J292*R292+K292*S292,0)</f>
        <v>0</v>
      </c>
      <c r="Q292" s="637">
        <f t="shared" si="107"/>
        <v>61149.090909090955</v>
      </c>
      <c r="R292" s="638">
        <f t="shared" si="107"/>
        <v>92343.429818181874</v>
      </c>
      <c r="S292" s="639">
        <f t="shared" si="107"/>
        <v>96928.157090909139</v>
      </c>
      <c r="T292" s="637">
        <f>L292*$AH$6*AD$21</f>
        <v>0</v>
      </c>
      <c r="U292" s="640" t="e">
        <f>$AH$6*(1-AE$20)*((1+HLOOKUP($A$281,FC_Premissas!$D$5:$W$16,14,FALSE)^0.0833-1))*L292*12</f>
        <v>#REF!</v>
      </c>
      <c r="V292" s="638">
        <f>M292*$AP$6*AL$21</f>
        <v>0</v>
      </c>
      <c r="W292" s="669" t="e">
        <f>$AP$6*(1-AM$20)*((1+HLOOKUP($A$281,FC_Premissas!$D$5:$W$16,14,FALSE))^0.0833-1)*M292*12</f>
        <v>#REF!</v>
      </c>
      <c r="X292" s="637">
        <f>N292*$AX$6*AT$21</f>
        <v>23935.994181818183</v>
      </c>
      <c r="Y292" s="640" t="e">
        <f>$AX$6*(1-AU$20)*((1+HLOOKUP($A$281,FC_Premissas!$D$5:$W$16,14,FALSE))^0.0833-1)*N292*12</f>
        <v>#REF!</v>
      </c>
      <c r="Z292" s="638">
        <f t="shared" si="108"/>
        <v>23935.994181818183</v>
      </c>
      <c r="AA292" s="669" t="e">
        <f t="shared" si="108"/>
        <v>#REF!</v>
      </c>
      <c r="AB292" s="641"/>
    </row>
    <row r="293" spans="1:28" x14ac:dyDescent="0.2">
      <c r="A293" s="984"/>
      <c r="B293" s="633">
        <v>10</v>
      </c>
      <c r="C293" s="634">
        <f>IF(A281&lt;=$F$3,L267,0)</f>
        <v>0</v>
      </c>
      <c r="D293" s="598">
        <f>IF(A281&lt;=$F$3,M267,0)</f>
        <v>0</v>
      </c>
      <c r="E293" s="598">
        <f>IF(A281&lt;=$F$3,N267,0)</f>
        <v>2</v>
      </c>
      <c r="F293" s="634"/>
      <c r="G293" s="598"/>
      <c r="H293" s="650"/>
      <c r="I293" s="598"/>
      <c r="J293" s="598"/>
      <c r="K293" s="676"/>
      <c r="L293" s="634">
        <f>IF(A281&lt;=$F$3,C293+F293-I293,0)</f>
        <v>0</v>
      </c>
      <c r="M293" s="598">
        <f>IF(A281&lt;=$F$3,D293+G293-J293,0)</f>
        <v>0</v>
      </c>
      <c r="N293" s="598">
        <f>IF(A281&lt;=$F$3,E293+H293-K293,0)</f>
        <v>2</v>
      </c>
      <c r="O293" s="635">
        <f>IF(A281&lt;=$F$3,F293*Q293+G293*R293+H293*S293,0)</f>
        <v>0</v>
      </c>
      <c r="P293" s="636">
        <f>IF(A281&lt;=$F$3,I293*Q293+J293*R293+K293*S293,0)</f>
        <v>0</v>
      </c>
      <c r="Q293" s="637">
        <f t="shared" si="107"/>
        <v>52550.000000000044</v>
      </c>
      <c r="R293" s="638">
        <f t="shared" si="107"/>
        <v>81020.160000000062</v>
      </c>
      <c r="S293" s="639">
        <f t="shared" si="107"/>
        <v>84960.160000000062</v>
      </c>
      <c r="T293" s="637">
        <f>L293*$AH$6*AD$22</f>
        <v>0</v>
      </c>
      <c r="U293" s="640" t="e">
        <f>$AH$6*(1-AE$21)*((1+HLOOKUP($A$281,FC_Premissas!$D$5:$W$16,14,FALSE)^0.0833-1))*L293*12</f>
        <v>#REF!</v>
      </c>
      <c r="V293" s="638">
        <f>M293*$AP$6*AL$22</f>
        <v>0</v>
      </c>
      <c r="W293" s="669" t="e">
        <f>$AP$6*(1-AM$21)*((1+HLOOKUP($A$281,FC_Premissas!$D$5:$W$16,14,FALSE))^0.0833-1)*M293*12</f>
        <v>#REF!</v>
      </c>
      <c r="X293" s="637">
        <f>N293*$AX$6*AT$22</f>
        <v>0</v>
      </c>
      <c r="Y293" s="640" t="e">
        <f>$AX$6*(1-AU$21)*((1+HLOOKUP($A$281,FC_Premissas!$D$5:$W$16,14,FALSE))^0.0833-1)*N293*12</f>
        <v>#REF!</v>
      </c>
      <c r="Z293" s="638">
        <f t="shared" si="108"/>
        <v>0</v>
      </c>
      <c r="AA293" s="669" t="e">
        <f t="shared" si="108"/>
        <v>#REF!</v>
      </c>
      <c r="AB293" s="641"/>
    </row>
    <row r="294" spans="1:28" x14ac:dyDescent="0.2">
      <c r="A294" s="984"/>
      <c r="B294" s="633">
        <v>11</v>
      </c>
      <c r="C294" s="634">
        <f>IF(A281&lt;=$F$3,L268,0)</f>
        <v>0</v>
      </c>
      <c r="D294" s="598">
        <f>IF(A281&lt;=$F$3,M268,0)</f>
        <v>0</v>
      </c>
      <c r="E294" s="598">
        <f>IF(A281&lt;=$F$3,N268,0)</f>
        <v>1</v>
      </c>
      <c r="F294" s="634"/>
      <c r="G294" s="598"/>
      <c r="H294" s="650"/>
      <c r="I294" s="598"/>
      <c r="J294" s="598"/>
      <c r="K294" s="676"/>
      <c r="L294" s="634">
        <f>IF(A281&lt;=$F$3,C294+F294-I294,0)</f>
        <v>0</v>
      </c>
      <c r="M294" s="598">
        <f>IF(A281&lt;=$F$3,D294+G294-J294,0)</f>
        <v>0</v>
      </c>
      <c r="N294" s="598">
        <f>IF(A281&lt;=$F$3,E294+H294-K294,0)</f>
        <v>1</v>
      </c>
      <c r="O294" s="635">
        <f>IF(A281&lt;=$F$3,F294*Q294+G294*R294+H294*S294,0)</f>
        <v>0</v>
      </c>
      <c r="P294" s="636">
        <f>IF(A281&lt;=$F$3,I294*Q294+J294*R294+K294*S294,0)</f>
        <v>0</v>
      </c>
      <c r="Q294" s="637">
        <f t="shared" si="107"/>
        <v>52550.000000000044</v>
      </c>
      <c r="R294" s="638">
        <f t="shared" si="107"/>
        <v>81020.160000000062</v>
      </c>
      <c r="S294" s="639">
        <f t="shared" si="107"/>
        <v>84960.160000000062</v>
      </c>
      <c r="T294" s="637">
        <f>L294*$AH$6*AD$23</f>
        <v>0</v>
      </c>
      <c r="U294" s="640" t="e">
        <f>$AH$6*(1-AE$22)*((1+HLOOKUP($A$281,FC_Premissas!$D$5:$W$16,14,FALSE)^0.0833-1))*L294*12</f>
        <v>#REF!</v>
      </c>
      <c r="V294" s="638">
        <f>M294*$AP$6*AL$23</f>
        <v>0</v>
      </c>
      <c r="W294" s="669" t="e">
        <f>$AP$6*(1-AM$22)*((1+HLOOKUP($A$281,FC_Premissas!$D$5:$W$16,14,FALSE))^0.0833-1)*M294*12</f>
        <v>#REF!</v>
      </c>
      <c r="X294" s="637">
        <f>N294*$AX$6*AT$23</f>
        <v>0</v>
      </c>
      <c r="Y294" s="640" t="e">
        <f>$AX$6*(1-AU$22)*((1+HLOOKUP($A$281,FC_Premissas!$D$5:$W$16,14,FALSE))^0.0833-1)*N294*12</f>
        <v>#REF!</v>
      </c>
      <c r="Z294" s="638">
        <f t="shared" si="108"/>
        <v>0</v>
      </c>
      <c r="AA294" s="669" t="e">
        <f t="shared" si="108"/>
        <v>#REF!</v>
      </c>
      <c r="AB294" s="641"/>
    </row>
    <row r="295" spans="1:28" x14ac:dyDescent="0.2">
      <c r="A295" s="984"/>
      <c r="B295" s="633">
        <v>12</v>
      </c>
      <c r="C295" s="634">
        <f>IF(A281&lt;=$F$3,L269,0)</f>
        <v>0</v>
      </c>
      <c r="D295" s="598">
        <f>IF(A281&lt;=$F$3,M269,0)</f>
        <v>0</v>
      </c>
      <c r="E295" s="598">
        <f>IF(A281&lt;=$F$3,N269,0)</f>
        <v>1</v>
      </c>
      <c r="F295" s="634"/>
      <c r="G295" s="598"/>
      <c r="H295" s="650"/>
      <c r="I295" s="598"/>
      <c r="J295" s="598"/>
      <c r="K295" s="676">
        <v>1</v>
      </c>
      <c r="L295" s="634">
        <f>IF(A281&lt;=$F$3,C295+F295-I295,0)</f>
        <v>0</v>
      </c>
      <c r="M295" s="598">
        <f>IF(A281&lt;=$F$3,D295+G295-J295,0)</f>
        <v>0</v>
      </c>
      <c r="N295" s="598">
        <f>IF(A281&lt;=$F$3,E295+H295-K295,0)</f>
        <v>0</v>
      </c>
      <c r="O295" s="635">
        <f>IF(A281&lt;=$F$3,F295*Q295+G295*R295+H295*S295,0)</f>
        <v>0</v>
      </c>
      <c r="P295" s="636">
        <f>IF(A281&lt;=$F$3,I295*Q295+J295*R295+K295*S295,0)</f>
        <v>84960.160000000062</v>
      </c>
      <c r="Q295" s="637">
        <f t="shared" si="107"/>
        <v>52550.000000000044</v>
      </c>
      <c r="R295" s="638">
        <f t="shared" si="107"/>
        <v>81020.160000000062</v>
      </c>
      <c r="S295" s="639">
        <f t="shared" si="107"/>
        <v>84960.160000000062</v>
      </c>
      <c r="T295" s="637">
        <f>L295*$AH$6*AD$24</f>
        <v>0</v>
      </c>
      <c r="U295" s="640" t="e">
        <f>$AH$6*(1-AE$23)*((1+HLOOKUP($A$281,FC_Premissas!$D$5:$W$16,14,FALSE)^0.0833-1))*L295*12</f>
        <v>#REF!</v>
      </c>
      <c r="V295" s="638">
        <f>M295*$AP$6*AL$24</f>
        <v>0</v>
      </c>
      <c r="W295" s="669" t="e">
        <f>$AP$6*(1-AM$23)*((1+HLOOKUP($A$281,FC_Premissas!$D$5:$W$16,14,FALSE))^0.0833-1)*M295*12</f>
        <v>#REF!</v>
      </c>
      <c r="X295" s="637">
        <f>N295*$AX$6*AT$24</f>
        <v>0</v>
      </c>
      <c r="Y295" s="640" t="e">
        <f>$AX$6*(1-AU$23)*((1+HLOOKUP($A$281,FC_Premissas!$D$5:$W$16,14,FALSE))^0.0833-1)*N295*12</f>
        <v>#REF!</v>
      </c>
      <c r="Z295" s="638">
        <f t="shared" si="108"/>
        <v>0</v>
      </c>
      <c r="AA295" s="669" t="e">
        <f t="shared" si="108"/>
        <v>#REF!</v>
      </c>
      <c r="AB295" s="641"/>
    </row>
    <row r="296" spans="1:28" ht="11.25" customHeight="1" x14ac:dyDescent="0.2">
      <c r="A296" s="984"/>
      <c r="B296" s="633">
        <v>13</v>
      </c>
      <c r="C296" s="634">
        <f>IF(A281&lt;=$F$3,L270,0)</f>
        <v>0</v>
      </c>
      <c r="D296" s="598">
        <f>IF(A281&lt;=$F$3,M270,0)</f>
        <v>0</v>
      </c>
      <c r="E296" s="650">
        <f>IF(A281&lt;=$F$3,N270,0)</f>
        <v>0</v>
      </c>
      <c r="F296" s="634"/>
      <c r="G296" s="598"/>
      <c r="H296" s="598"/>
      <c r="I296" s="634"/>
      <c r="J296" s="598"/>
      <c r="K296" s="676"/>
      <c r="L296" s="634">
        <f>IF(A281&lt;=$F$3,C296+F296-I296,0)</f>
        <v>0</v>
      </c>
      <c r="M296" s="598">
        <f>IF(A281&lt;=$F$3,D296+G296-J296,0)</f>
        <v>0</v>
      </c>
      <c r="N296" s="598">
        <f>IF(A281&lt;=$F$3,E296+H296-K296,0)</f>
        <v>0</v>
      </c>
      <c r="O296" s="635">
        <f>IF(A281&lt;=$F$3,F296*Q296+G296*R296+H296*S296,0)</f>
        <v>0</v>
      </c>
      <c r="P296" s="636">
        <f>IF(A281&lt;=$F$3,I296*Q296+J296*R296+K296*S296,0)</f>
        <v>0</v>
      </c>
      <c r="Q296" s="637">
        <f t="shared" si="107"/>
        <v>52550.000000000044</v>
      </c>
      <c r="R296" s="638">
        <f t="shared" si="107"/>
        <v>81020.160000000062</v>
      </c>
      <c r="S296" s="639">
        <f t="shared" si="107"/>
        <v>84960.160000000062</v>
      </c>
      <c r="T296" s="637">
        <f>L296*$AH$6*AD$25</f>
        <v>0</v>
      </c>
      <c r="U296" s="640" t="e">
        <f>$AH$6*(1-AE$24)*((1+HLOOKUP($A$281,FC_Premissas!$D$5:$W$16,14,FALSE)^0.0833-1))*L296*12</f>
        <v>#REF!</v>
      </c>
      <c r="V296" s="638">
        <f>M296*$AP$6*AL$25</f>
        <v>0</v>
      </c>
      <c r="W296" s="669" t="e">
        <f>$AP$6*(1-AM$24)*((1+HLOOKUP($A$281,FC_Premissas!$D$5:$W$16,14,FALSE))^0.0833-1)*M296*12</f>
        <v>#REF!</v>
      </c>
      <c r="X296" s="637">
        <f>N296*$AX$6*AT$25</f>
        <v>0</v>
      </c>
      <c r="Y296" s="640" t="e">
        <f>$AX$6*(1-AU$24)*((1+HLOOKUP($A$281,FC_Premissas!$D$5:$W$16,14,FALSE))^0.0833-1)*N296*12</f>
        <v>#REF!</v>
      </c>
      <c r="Z296" s="638">
        <f t="shared" si="108"/>
        <v>0</v>
      </c>
      <c r="AA296" s="669" t="e">
        <f t="shared" si="108"/>
        <v>#REF!</v>
      </c>
      <c r="AB296" s="641"/>
    </row>
    <row r="297" spans="1:28" ht="11.25" customHeight="1" x14ac:dyDescent="0.2">
      <c r="A297" s="984"/>
      <c r="B297" s="633">
        <v>14</v>
      </c>
      <c r="C297" s="634">
        <f>IF(A281&lt;=$F$3,L271,0)</f>
        <v>0</v>
      </c>
      <c r="D297" s="598">
        <f>IF(A281&lt;=$F$3,M271,0)</f>
        <v>0</v>
      </c>
      <c r="E297" s="650">
        <f>IF(A281&lt;=$F$3,N271,0)</f>
        <v>0</v>
      </c>
      <c r="F297" s="634"/>
      <c r="G297" s="598"/>
      <c r="H297" s="598"/>
      <c r="I297" s="634"/>
      <c r="J297" s="598"/>
      <c r="K297" s="598"/>
      <c r="L297" s="634">
        <f>IF(A281&lt;=$F$3,C297+F297-I297,0)</f>
        <v>0</v>
      </c>
      <c r="M297" s="598">
        <f>IF(A281&lt;=$F$3,D297+G297-J297,0)</f>
        <v>0</v>
      </c>
      <c r="N297" s="598">
        <f>IF(A281&lt;=$F$3,E297+H297-K297,0)</f>
        <v>0</v>
      </c>
      <c r="O297" s="635">
        <f>IF(A281&lt;=$F$3,F297*Q297+G297*R297+H297*S297,0)</f>
        <v>0</v>
      </c>
      <c r="P297" s="636">
        <f>IF(A281&lt;=$F$3,I297*Q297+J297*R297+K297*S297,0)</f>
        <v>0</v>
      </c>
      <c r="Q297" s="637">
        <f t="shared" si="107"/>
        <v>52550.000000000044</v>
      </c>
      <c r="R297" s="638">
        <f t="shared" si="107"/>
        <v>81020.160000000062</v>
      </c>
      <c r="S297" s="639">
        <f t="shared" si="107"/>
        <v>84960.160000000062</v>
      </c>
      <c r="T297" s="637">
        <f>L297*$AH$6*AD$26</f>
        <v>0</v>
      </c>
      <c r="U297" s="640" t="e">
        <f>$AH$6*(1-AE$25)*((1+HLOOKUP($A$281,FC_Premissas!$D$5:$W$16,14,FALSE)^0.0833-1))*L297*12</f>
        <v>#REF!</v>
      </c>
      <c r="V297" s="638">
        <f>M297*$AP$6*AL$26</f>
        <v>0</v>
      </c>
      <c r="W297" s="669" t="e">
        <f>$AP$6*(1-AM$25)*((1+HLOOKUP($A$281,FC_Premissas!$D$5:$W$16,14,FALSE))^0.0833-1)*M297*12</f>
        <v>#REF!</v>
      </c>
      <c r="X297" s="637">
        <f>N297*$AX$6*AT$26</f>
        <v>0</v>
      </c>
      <c r="Y297" s="640" t="e">
        <f>$AX$6*(1-AU$25)*((1+HLOOKUP($A$281,FC_Premissas!$D$5:$W$16,14,FALSE))^0.0833-1)*N297*12</f>
        <v>#REF!</v>
      </c>
      <c r="Z297" s="638">
        <f t="shared" si="108"/>
        <v>0</v>
      </c>
      <c r="AA297" s="669" t="e">
        <f t="shared" si="108"/>
        <v>#REF!</v>
      </c>
      <c r="AB297" s="641"/>
    </row>
    <row r="298" spans="1:28" ht="11.25" customHeight="1" x14ac:dyDescent="0.2">
      <c r="A298" s="984"/>
      <c r="B298" s="633">
        <v>15</v>
      </c>
      <c r="C298" s="634">
        <f>IF(A281&lt;=$F$3,L272,0)</f>
        <v>0</v>
      </c>
      <c r="D298" s="598">
        <f>IF(A281&lt;=$F$3,M272,0)</f>
        <v>0</v>
      </c>
      <c r="E298" s="650">
        <f>IF(A281&lt;=$F$3,N272,0)</f>
        <v>0</v>
      </c>
      <c r="F298" s="634"/>
      <c r="G298" s="598"/>
      <c r="H298" s="598"/>
      <c r="I298" s="634"/>
      <c r="J298" s="598"/>
      <c r="K298" s="598"/>
      <c r="L298" s="634">
        <f>IF(A281&lt;=$F$3,C298+F298-I298,0)</f>
        <v>0</v>
      </c>
      <c r="M298" s="598">
        <f>IF(A281&lt;=$F$3,D298+G298-J298,0)</f>
        <v>0</v>
      </c>
      <c r="N298" s="598">
        <f>IF(A281&lt;=$F$3,E298+H298-K298,0)</f>
        <v>0</v>
      </c>
      <c r="O298" s="635">
        <f>IF(A281&lt;=$F$3,F298*Q298+G298*R298+H298*S298,0)</f>
        <v>0</v>
      </c>
      <c r="P298" s="636">
        <f>IF(A281&lt;=$F$3,I298*Q298+J298*R298+K298*S298,0)</f>
        <v>0</v>
      </c>
      <c r="Q298" s="637">
        <f t="shared" si="107"/>
        <v>52550.000000000044</v>
      </c>
      <c r="R298" s="638">
        <f t="shared" si="107"/>
        <v>81020.160000000062</v>
      </c>
      <c r="S298" s="639">
        <f t="shared" si="107"/>
        <v>84960.160000000062</v>
      </c>
      <c r="T298" s="637">
        <f t="shared" ref="T298:T303" si="109">L298*$AH$6*AD$27</f>
        <v>0</v>
      </c>
      <c r="U298" s="640" t="e">
        <f>$AH$6*(1-AE$26)*((1+HLOOKUP($A$281,FC_Premissas!$D$5:$W$16,14,FALSE)^0.0833-1))*L298*12</f>
        <v>#REF!</v>
      </c>
      <c r="V298" s="638">
        <f t="shared" ref="V298:V303" si="110">M298*$AP$6*AL$27</f>
        <v>0</v>
      </c>
      <c r="W298" s="669" t="e">
        <f>$AP$6*(1-AM$26)*((1+HLOOKUP($A$281,FC_Premissas!$D$5:$W$16,14,FALSE))^0.0833-1)*M298*12</f>
        <v>#REF!</v>
      </c>
      <c r="X298" s="637">
        <f t="shared" ref="X298:X303" si="111">N298*$AX$6*AT$27</f>
        <v>0</v>
      </c>
      <c r="Y298" s="640" t="e">
        <f>$AX$6*(1-AU$26)*((1+HLOOKUP($A$281,FC_Premissas!$D$5:$W$16,14,FALSE))^0.0833-1)*N298*12</f>
        <v>#REF!</v>
      </c>
      <c r="Z298" s="638">
        <f t="shared" si="108"/>
        <v>0</v>
      </c>
      <c r="AA298" s="640" t="e">
        <f t="shared" si="108"/>
        <v>#REF!</v>
      </c>
      <c r="AB298" s="641"/>
    </row>
    <row r="299" spans="1:28" x14ac:dyDescent="0.2">
      <c r="A299" s="984"/>
      <c r="B299" s="633">
        <v>16</v>
      </c>
      <c r="C299" s="634">
        <f>IF(A281&lt;=$F$3,L273,0)</f>
        <v>0</v>
      </c>
      <c r="D299" s="598">
        <f>IF(A281&lt;=$F$3,M273,0)</f>
        <v>0</v>
      </c>
      <c r="E299" s="650">
        <f>IF(A281&lt;=$F$3,N273,0)</f>
        <v>0</v>
      </c>
      <c r="F299" s="634"/>
      <c r="G299" s="598"/>
      <c r="H299" s="598"/>
      <c r="I299" s="634"/>
      <c r="J299" s="598"/>
      <c r="K299" s="598"/>
      <c r="L299" s="634">
        <f>IF(A281&lt;=$F$3,C299+F299-I299,0)</f>
        <v>0</v>
      </c>
      <c r="M299" s="598">
        <f>IF(A281&lt;=$F$3,D299+G299-J299,0)</f>
        <v>0</v>
      </c>
      <c r="N299" s="598">
        <f>IF(A281&lt;=$F$3,E299+H299-K299,0)</f>
        <v>0</v>
      </c>
      <c r="O299" s="635">
        <f>IF(A281&lt;=$F$3,F299*Q299+G299*R299+H299*S299,0)</f>
        <v>0</v>
      </c>
      <c r="P299" s="636">
        <f>IF(A281&lt;=$F$3,I299*Q299+J299*R299+K299*S299,0)</f>
        <v>0</v>
      </c>
      <c r="Q299" s="637">
        <f t="shared" ref="Q299:S303" si="112">Q274</f>
        <v>52550.000000000044</v>
      </c>
      <c r="R299" s="638">
        <f t="shared" si="112"/>
        <v>81020.160000000062</v>
      </c>
      <c r="S299" s="639">
        <f t="shared" si="112"/>
        <v>84960.160000000062</v>
      </c>
      <c r="T299" s="637">
        <f t="shared" si="109"/>
        <v>0</v>
      </c>
      <c r="U299" s="640" t="e">
        <f>$AH$6*(1-AE$27)*((1+HLOOKUP($A$281,FC_Premissas!$D$5:$W$16,14,FALSE)^0.0833-1))*L299*12</f>
        <v>#REF!</v>
      </c>
      <c r="V299" s="638">
        <f t="shared" si="110"/>
        <v>0</v>
      </c>
      <c r="W299" s="669" t="e">
        <f>$AP$6*(1-AM$27)*((1+HLOOKUP($A$281,FC_Premissas!$D$5:$W$16,14,FALSE))^0.0833-1)*M299*12</f>
        <v>#REF!</v>
      </c>
      <c r="X299" s="637">
        <f t="shared" si="111"/>
        <v>0</v>
      </c>
      <c r="Y299" s="640" t="e">
        <f>$AX$6*(1-AU$27)*((1+HLOOKUP($A$281,FC_Premissas!$D$5:$W$16,14,FALSE))^0.0833-1)*N299*12</f>
        <v>#REF!</v>
      </c>
      <c r="Z299" s="638">
        <f t="shared" si="108"/>
        <v>0</v>
      </c>
      <c r="AA299" s="640" t="e">
        <f t="shared" si="108"/>
        <v>#REF!</v>
      </c>
      <c r="AB299" s="641"/>
    </row>
    <row r="300" spans="1:28" x14ac:dyDescent="0.2">
      <c r="A300" s="984"/>
      <c r="B300" s="633">
        <v>17</v>
      </c>
      <c r="C300" s="634">
        <f>IF(A281&lt;=$F$3,L274,0)</f>
        <v>0</v>
      </c>
      <c r="D300" s="598">
        <f>IF(A281&lt;=$F$3,M274,0)</f>
        <v>0</v>
      </c>
      <c r="E300" s="650">
        <f>IF(A281&lt;=$F$3,N274,0)</f>
        <v>0</v>
      </c>
      <c r="F300" s="634"/>
      <c r="G300" s="598"/>
      <c r="H300" s="598"/>
      <c r="I300" s="634"/>
      <c r="J300" s="598"/>
      <c r="K300" s="598"/>
      <c r="L300" s="634">
        <f>IF(A281&lt;=$F$3,C300+F300-I300,0)</f>
        <v>0</v>
      </c>
      <c r="M300" s="598">
        <f>IF(A281&lt;=$F$3,D300+G300-J300,0)</f>
        <v>0</v>
      </c>
      <c r="N300" s="598">
        <f>IF(A281&lt;=$F$3,E300+H300-K300,0)</f>
        <v>0</v>
      </c>
      <c r="O300" s="635">
        <f>IF(A281&lt;=$F$3,F300*Q300+G300*R300+H300*S300,0)</f>
        <v>0</v>
      </c>
      <c r="P300" s="636">
        <f>IF(A281&lt;=$F$3,I300*Q300+J300*R300+K300*S300,0)</f>
        <v>0</v>
      </c>
      <c r="Q300" s="637">
        <f t="shared" si="112"/>
        <v>52550.000000000044</v>
      </c>
      <c r="R300" s="638">
        <f t="shared" si="112"/>
        <v>81020.160000000062</v>
      </c>
      <c r="S300" s="639">
        <f t="shared" si="112"/>
        <v>84960.160000000062</v>
      </c>
      <c r="T300" s="637">
        <f t="shared" si="109"/>
        <v>0</v>
      </c>
      <c r="U300" s="640" t="e">
        <f>$AH$6*(1-AE$28)*((1+HLOOKUP($A$281,FC_Premissas!$D$5:$W$16,14,FALSE)^0.0833-1))*L300*12</f>
        <v>#REF!</v>
      </c>
      <c r="V300" s="638">
        <f t="shared" si="110"/>
        <v>0</v>
      </c>
      <c r="W300" s="669" t="e">
        <f>$AP$6*(1-AM$28)*((1+HLOOKUP($A$281,FC_Premissas!$D$5:$W$16,14,FALSE))^0.0833-1)*M300*12</f>
        <v>#REF!</v>
      </c>
      <c r="X300" s="637">
        <f t="shared" si="111"/>
        <v>0</v>
      </c>
      <c r="Y300" s="640" t="e">
        <f>$AX$6*(1-AU$28)*((1+HLOOKUP($A$281,FC_Premissas!$D$5:$W$16,14,FALSE))^0.0833-1)*N300*12</f>
        <v>#REF!</v>
      </c>
      <c r="Z300" s="638">
        <f t="shared" si="108"/>
        <v>0</v>
      </c>
      <c r="AA300" s="640" t="e">
        <f t="shared" si="108"/>
        <v>#REF!</v>
      </c>
      <c r="AB300" s="641"/>
    </row>
    <row r="301" spans="1:28" x14ac:dyDescent="0.2">
      <c r="A301" s="984"/>
      <c r="B301" s="633">
        <v>18</v>
      </c>
      <c r="C301" s="634">
        <f>IF(A281&lt;=$F$3,L275,0)</f>
        <v>0</v>
      </c>
      <c r="D301" s="598">
        <f>IF(A281&lt;=$F$3,M275,0)</f>
        <v>0</v>
      </c>
      <c r="E301" s="650">
        <f>IF(A281&lt;=$F$3,N275,0)</f>
        <v>0</v>
      </c>
      <c r="F301" s="634"/>
      <c r="G301" s="598"/>
      <c r="H301" s="598"/>
      <c r="I301" s="634"/>
      <c r="J301" s="598"/>
      <c r="K301" s="598"/>
      <c r="L301" s="634">
        <f>IF(A281&lt;=$F$3,C301+F301-I301,0)</f>
        <v>0</v>
      </c>
      <c r="M301" s="598">
        <f>IF(A281&lt;=$F$3,D301+G301-J301,0)</f>
        <v>0</v>
      </c>
      <c r="N301" s="598">
        <f>IF(A281&lt;=$F$3,E301+H301-K301,0)</f>
        <v>0</v>
      </c>
      <c r="O301" s="635">
        <f>IF(A281&lt;=$F$3,F301*Q301+G301*R301+H301*S301,0)</f>
        <v>0</v>
      </c>
      <c r="P301" s="636">
        <f>IF(A281&lt;=$F$3,I301*Q301+J301*R301+K301*S301,0)</f>
        <v>0</v>
      </c>
      <c r="Q301" s="637">
        <f t="shared" si="112"/>
        <v>52550.000000000044</v>
      </c>
      <c r="R301" s="638">
        <f t="shared" si="112"/>
        <v>81020.160000000062</v>
      </c>
      <c r="S301" s="639">
        <f t="shared" si="112"/>
        <v>84960.160000000062</v>
      </c>
      <c r="T301" s="637">
        <f t="shared" si="109"/>
        <v>0</v>
      </c>
      <c r="U301" s="640" t="e">
        <f>$AH$6*(1-AE$29)*((1+HLOOKUP($A$281,FC_Premissas!$D$5:$W$16,14,FALSE)^0.0833-1))*L301*12</f>
        <v>#REF!</v>
      </c>
      <c r="V301" s="638">
        <f t="shared" si="110"/>
        <v>0</v>
      </c>
      <c r="W301" s="669" t="e">
        <f>$AP$6*(1-AM$29)*((1+HLOOKUP($A$281,FC_Premissas!$D$5:$W$16,14,FALSE))^0.0833-1)*M301*12</f>
        <v>#REF!</v>
      </c>
      <c r="X301" s="637">
        <f t="shared" si="111"/>
        <v>0</v>
      </c>
      <c r="Y301" s="640" t="e">
        <f>$AX$6*(1-AU$29)*((1+HLOOKUP($A$281,FC_Premissas!$D$5:$W$16,14,FALSE))^0.0833-1)*N301*12</f>
        <v>#REF!</v>
      </c>
      <c r="Z301" s="638">
        <f t="shared" si="108"/>
        <v>0</v>
      </c>
      <c r="AA301" s="640" t="e">
        <f t="shared" si="108"/>
        <v>#REF!</v>
      </c>
      <c r="AB301" s="641"/>
    </row>
    <row r="302" spans="1:28" x14ac:dyDescent="0.2">
      <c r="A302" s="984"/>
      <c r="B302" s="633">
        <v>19</v>
      </c>
      <c r="C302" s="634">
        <f>IF(A281&lt;=$F$3,L276,0)</f>
        <v>0</v>
      </c>
      <c r="D302" s="598">
        <f>IF(A281&lt;=$F$3,M276,0)</f>
        <v>0</v>
      </c>
      <c r="E302" s="650">
        <f>IF(A281&lt;=$F$3,N276,0)</f>
        <v>0</v>
      </c>
      <c r="F302" s="634"/>
      <c r="G302" s="598"/>
      <c r="H302" s="598"/>
      <c r="I302" s="634"/>
      <c r="J302" s="598"/>
      <c r="K302" s="598"/>
      <c r="L302" s="634">
        <f>IF(A281&lt;=$F$3,C302+F302-I302,0)</f>
        <v>0</v>
      </c>
      <c r="M302" s="598">
        <f>IF(A281&lt;=$F$3,D302+G302-J302,0)</f>
        <v>0</v>
      </c>
      <c r="N302" s="598">
        <f>IF(A281&lt;=$F$3,E302+H302-K302,0)</f>
        <v>0</v>
      </c>
      <c r="O302" s="635">
        <f>IF(A281&lt;=$F$3,F302*Q302+G302*R302+H302*S302,0)</f>
        <v>0</v>
      </c>
      <c r="P302" s="636">
        <f>IF(A281&lt;=$F$3,I302*Q302+J302*R302+K302*S302,0)</f>
        <v>0</v>
      </c>
      <c r="Q302" s="637">
        <f t="shared" si="112"/>
        <v>52550.000000000044</v>
      </c>
      <c r="R302" s="638">
        <f t="shared" si="112"/>
        <v>81020.160000000062</v>
      </c>
      <c r="S302" s="639">
        <f t="shared" si="112"/>
        <v>84960.160000000062</v>
      </c>
      <c r="T302" s="637">
        <f t="shared" si="109"/>
        <v>0</v>
      </c>
      <c r="U302" s="640" t="e">
        <f>$AH$6*(1-AE$30)*((1+HLOOKUP($A$281,FC_Premissas!$D$5:$W$16,14,FALSE)^0.0833-1))*L302*12</f>
        <v>#REF!</v>
      </c>
      <c r="V302" s="638">
        <f t="shared" si="110"/>
        <v>0</v>
      </c>
      <c r="W302" s="669" t="e">
        <f>$AP$6*(1-AM$30)*((1+HLOOKUP($A$281,FC_Premissas!$D$5:$W$16,14,FALSE))^0.0833-1)*M302*12</f>
        <v>#REF!</v>
      </c>
      <c r="X302" s="637">
        <f t="shared" si="111"/>
        <v>0</v>
      </c>
      <c r="Y302" s="640" t="e">
        <f>$AX$6*(1-AU$30)*((1+HLOOKUP($A$281,FC_Premissas!$D$5:$W$16,14,FALSE))^0.0833-1)*N302*12</f>
        <v>#REF!</v>
      </c>
      <c r="Z302" s="638">
        <f t="shared" si="108"/>
        <v>0</v>
      </c>
      <c r="AA302" s="640" t="e">
        <f t="shared" si="108"/>
        <v>#REF!</v>
      </c>
      <c r="AB302" s="641"/>
    </row>
    <row r="303" spans="1:28" x14ac:dyDescent="0.2">
      <c r="A303" s="984"/>
      <c r="B303" s="633">
        <v>20</v>
      </c>
      <c r="C303" s="616">
        <f>IF(A281&lt;=$F$3,L277,0)</f>
        <v>0</v>
      </c>
      <c r="D303" s="617">
        <f>IF(A281&lt;=$F$3,M277,0)</f>
        <v>0</v>
      </c>
      <c r="E303" s="650">
        <f>IF(A281&lt;=$F$3,N277,0)</f>
        <v>0</v>
      </c>
      <c r="F303" s="616"/>
      <c r="G303" s="617"/>
      <c r="H303" s="598"/>
      <c r="I303" s="616"/>
      <c r="J303" s="617"/>
      <c r="K303" s="598"/>
      <c r="L303" s="616">
        <f>IF(A281&lt;=$F$3,C303+F303-I303,0)</f>
        <v>0</v>
      </c>
      <c r="M303" s="617">
        <f>IF(A281&lt;=$F$3,D303+G303-J303,0)</f>
        <v>0</v>
      </c>
      <c r="N303" s="598">
        <f>IF(A281&lt;=$F$3,E303+H303-K303,0)</f>
        <v>0</v>
      </c>
      <c r="O303" s="635">
        <f>IF(A281&lt;=$F$3,F303*Q303+G303*R303+H303*S303,0)</f>
        <v>0</v>
      </c>
      <c r="P303" s="636">
        <f>IF(A281&lt;=$F$3,I303*Q303+J303*R303+K303*S303,0)</f>
        <v>0</v>
      </c>
      <c r="Q303" s="651">
        <f t="shared" si="112"/>
        <v>52550.000000000044</v>
      </c>
      <c r="R303" s="652">
        <f t="shared" si="112"/>
        <v>81020.160000000062</v>
      </c>
      <c r="S303" s="653">
        <f t="shared" si="112"/>
        <v>84960.160000000062</v>
      </c>
      <c r="T303" s="651">
        <f t="shared" si="109"/>
        <v>0</v>
      </c>
      <c r="U303" s="654" t="e">
        <f>$AH$6*(1-AE$31)*((1+HLOOKUP($A$281,FC_Premissas!$D$5:$W$16,14,FALSE)^0.0833-1))*L303*12</f>
        <v>#REF!</v>
      </c>
      <c r="V303" s="652">
        <f t="shared" si="110"/>
        <v>0</v>
      </c>
      <c r="W303" s="678" t="e">
        <f>$AP$6*(1-AM$31)*((1+HLOOKUP($A$281,FC_Premissas!$D$5:$W$16,14,FALSE))^0.0833-1)*M303*12</f>
        <v>#REF!</v>
      </c>
      <c r="X303" s="651">
        <f t="shared" si="111"/>
        <v>0</v>
      </c>
      <c r="Y303" s="654" t="e">
        <f>$AX$6*(1-AU$31)*((1+HLOOKUP($A$281,FC_Premissas!$D$5:$W$16,14,FALSE))^0.0833-1)*N303*12</f>
        <v>#REF!</v>
      </c>
      <c r="Z303" s="652">
        <f t="shared" si="108"/>
        <v>0</v>
      </c>
      <c r="AA303" s="654" t="e">
        <f t="shared" si="108"/>
        <v>#REF!</v>
      </c>
      <c r="AB303" s="641"/>
    </row>
    <row r="304" spans="1:28" x14ac:dyDescent="0.2">
      <c r="A304" s="984"/>
      <c r="B304" s="655" t="s">
        <v>1228</v>
      </c>
      <c r="C304" s="656">
        <f t="shared" ref="C304:P304" si="113">SUM(C283:C303)</f>
        <v>0</v>
      </c>
      <c r="D304" s="657">
        <f t="shared" si="113"/>
        <v>0</v>
      </c>
      <c r="E304" s="658">
        <f t="shared" si="113"/>
        <v>11</v>
      </c>
      <c r="F304" s="656">
        <f t="shared" si="113"/>
        <v>0</v>
      </c>
      <c r="G304" s="657">
        <f t="shared" si="113"/>
        <v>0</v>
      </c>
      <c r="H304" s="658">
        <f t="shared" si="113"/>
        <v>1</v>
      </c>
      <c r="I304" s="656">
        <f t="shared" si="113"/>
        <v>0</v>
      </c>
      <c r="J304" s="657">
        <f t="shared" si="113"/>
        <v>0</v>
      </c>
      <c r="K304" s="658">
        <f t="shared" si="113"/>
        <v>1</v>
      </c>
      <c r="L304" s="656">
        <f t="shared" si="113"/>
        <v>0</v>
      </c>
      <c r="M304" s="657">
        <f t="shared" si="113"/>
        <v>0</v>
      </c>
      <c r="N304" s="657">
        <f t="shared" si="113"/>
        <v>11</v>
      </c>
      <c r="O304" s="659">
        <f t="shared" si="113"/>
        <v>264480.11636363639</v>
      </c>
      <c r="P304" s="660">
        <f t="shared" si="113"/>
        <v>84960.160000000062</v>
      </c>
      <c r="Q304" s="638"/>
      <c r="R304" s="638"/>
      <c r="S304" s="638"/>
      <c r="T304" s="661">
        <f t="shared" ref="T304:AA304" si="114">SUM(T283:T303)</f>
        <v>0</v>
      </c>
      <c r="U304" s="662" t="e">
        <f t="shared" si="114"/>
        <v>#REF!</v>
      </c>
      <c r="V304" s="663">
        <f t="shared" si="114"/>
        <v>0</v>
      </c>
      <c r="W304" s="662" t="e">
        <f t="shared" si="114"/>
        <v>#REF!</v>
      </c>
      <c r="X304" s="663">
        <f t="shared" si="114"/>
        <v>275263.93309090909</v>
      </c>
      <c r="Y304" s="662" t="e">
        <f t="shared" si="114"/>
        <v>#REF!</v>
      </c>
      <c r="Z304" s="663">
        <f t="shared" si="114"/>
        <v>275263.93309090909</v>
      </c>
      <c r="AA304" s="664" t="e">
        <f t="shared" si="114"/>
        <v>#REF!</v>
      </c>
      <c r="AB304" s="641"/>
    </row>
    <row r="305" spans="1:28" x14ac:dyDescent="0.2">
      <c r="A305" s="985"/>
      <c r="B305" s="977" t="s">
        <v>1229</v>
      </c>
      <c r="C305" s="977"/>
      <c r="D305" s="977"/>
      <c r="E305" s="666">
        <f>(L305*L304+M305*M304+N305*N304)/(L304+M304+N304)</f>
        <v>8</v>
      </c>
      <c r="F305" s="665" t="s">
        <v>140</v>
      </c>
      <c r="G305" s="665"/>
      <c r="H305" s="665"/>
      <c r="I305" s="665"/>
      <c r="J305" s="665"/>
      <c r="K305" s="665"/>
      <c r="L305" s="887">
        <f>IF(L304=0,0,(SUMPRODUCT(L283:L303,$B283:$B303)/L304))</f>
        <v>0</v>
      </c>
      <c r="M305" s="887">
        <f>IF(M304=0,0,(SUMPRODUCT(M283:M303,$B283:$B303)/M304))</f>
        <v>0</v>
      </c>
      <c r="N305" s="887">
        <f>IF(N304=0,0,ROUND(SUMPRODUCT(N283:N303,$B283:$B303)/N304,0))</f>
        <v>8</v>
      </c>
      <c r="O305" s="667"/>
      <c r="P305" s="668"/>
      <c r="Q305" s="638"/>
      <c r="R305" s="638"/>
      <c r="S305" s="638"/>
      <c r="T305" s="638"/>
      <c r="U305" s="669"/>
      <c r="V305" s="638"/>
      <c r="W305" s="669"/>
      <c r="X305" s="638"/>
      <c r="Y305" s="669"/>
      <c r="Z305" s="638"/>
      <c r="AA305" s="669"/>
    </row>
    <row r="306" spans="1:28" ht="12.75" customHeight="1" x14ac:dyDescent="0.2">
      <c r="A306" s="983">
        <f>A281+1</f>
        <v>13</v>
      </c>
      <c r="B306" s="986" t="s">
        <v>1077</v>
      </c>
      <c r="C306" s="988" t="s">
        <v>1202</v>
      </c>
      <c r="D306" s="989"/>
      <c r="E306" s="990"/>
      <c r="F306" s="991" t="s">
        <v>1203</v>
      </c>
      <c r="G306" s="992"/>
      <c r="H306" s="993"/>
      <c r="I306" s="991" t="s">
        <v>1204</v>
      </c>
      <c r="J306" s="992"/>
      <c r="K306" s="993"/>
      <c r="L306" s="991" t="s">
        <v>1205</v>
      </c>
      <c r="M306" s="992"/>
      <c r="N306" s="992"/>
      <c r="O306" s="978" t="s">
        <v>1206</v>
      </c>
      <c r="P306" s="979"/>
      <c r="Q306" s="980" t="s">
        <v>1207</v>
      </c>
      <c r="R306" s="981"/>
      <c r="S306" s="982"/>
      <c r="T306" s="607" t="s">
        <v>1208</v>
      </c>
      <c r="U306" s="609" t="s">
        <v>1209</v>
      </c>
      <c r="V306" s="608" t="s">
        <v>1210</v>
      </c>
      <c r="W306" s="610" t="s">
        <v>1211</v>
      </c>
      <c r="X306" s="607" t="s">
        <v>1210</v>
      </c>
      <c r="Y306" s="609" t="s">
        <v>1211</v>
      </c>
      <c r="Z306" s="607" t="s">
        <v>1210</v>
      </c>
      <c r="AA306" s="609" t="s">
        <v>1211</v>
      </c>
    </row>
    <row r="307" spans="1:28" x14ac:dyDescent="0.2">
      <c r="A307" s="984"/>
      <c r="B307" s="987"/>
      <c r="C307" s="616" t="str">
        <f>$C$7</f>
        <v>Mini</v>
      </c>
      <c r="D307" s="617" t="str">
        <f>$D$7</f>
        <v>Midi</v>
      </c>
      <c r="E307" s="617" t="str">
        <f>$E$7</f>
        <v>Básico</v>
      </c>
      <c r="F307" s="616" t="str">
        <f>$C$7</f>
        <v>Mini</v>
      </c>
      <c r="G307" s="617" t="str">
        <f>$D$7</f>
        <v>Midi</v>
      </c>
      <c r="H307" s="617" t="str">
        <f>$E$7</f>
        <v>Básico</v>
      </c>
      <c r="I307" s="616" t="str">
        <f>$C$7</f>
        <v>Mini</v>
      </c>
      <c r="J307" s="617" t="str">
        <f>$D$7</f>
        <v>Midi</v>
      </c>
      <c r="K307" s="617" t="str">
        <f>$E$7</f>
        <v>Básico</v>
      </c>
      <c r="L307" s="616" t="str">
        <f>$C$7</f>
        <v>Mini</v>
      </c>
      <c r="M307" s="617" t="str">
        <f>$D$7</f>
        <v>Midi</v>
      </c>
      <c r="N307" s="617" t="str">
        <f>$E$7</f>
        <v>Básico</v>
      </c>
      <c r="O307" s="667" t="s">
        <v>1203</v>
      </c>
      <c r="P307" s="668" t="s">
        <v>1204</v>
      </c>
      <c r="Q307" s="620" t="str">
        <f>C307</f>
        <v>Mini</v>
      </c>
      <c r="R307" s="621" t="str">
        <f>D307</f>
        <v>Midi</v>
      </c>
      <c r="S307" s="622" t="str">
        <f>E307</f>
        <v>Básico</v>
      </c>
      <c r="T307" s="623" t="str">
        <f>C307</f>
        <v>Mini</v>
      </c>
      <c r="U307" s="624" t="str">
        <f>C307</f>
        <v>Mini</v>
      </c>
      <c r="V307" s="625" t="str">
        <f>D307</f>
        <v>Midi</v>
      </c>
      <c r="W307" s="626" t="str">
        <f>D307</f>
        <v>Midi</v>
      </c>
      <c r="X307" s="623" t="str">
        <f>E307</f>
        <v>Básico</v>
      </c>
      <c r="Y307" s="624" t="str">
        <f>E307</f>
        <v>Básico</v>
      </c>
      <c r="Z307" s="627" t="s">
        <v>1218</v>
      </c>
      <c r="AA307" s="628" t="s">
        <v>1218</v>
      </c>
    </row>
    <row r="308" spans="1:28" x14ac:dyDescent="0.2">
      <c r="A308" s="984"/>
      <c r="B308" s="633">
        <v>0</v>
      </c>
      <c r="C308" s="634">
        <v>0</v>
      </c>
      <c r="F308" s="965"/>
      <c r="G308" s="966"/>
      <c r="H308" s="675"/>
      <c r="I308" s="598"/>
      <c r="J308" s="598"/>
      <c r="K308" s="676"/>
      <c r="L308" s="634">
        <f>IF(A306&lt;=$F$3,C308+F308-I308,0)</f>
        <v>0</v>
      </c>
      <c r="M308" s="598">
        <f>IF(A306&lt;=$F$3,D308+G308-J308,0)</f>
        <v>0</v>
      </c>
      <c r="N308" s="598">
        <f>IF(A306&lt;=$F$3,E308+H308-K308,0)</f>
        <v>0</v>
      </c>
      <c r="O308" s="635">
        <f>IF(A306&lt;=$F$3,F308*Q308+G308*R308+H308*S308,0)</f>
        <v>0</v>
      </c>
      <c r="P308" s="636">
        <f>IF(A306&lt;=$F$3,I308*Q308+J308*R308+K308*S308,0)</f>
        <v>0</v>
      </c>
      <c r="Q308" s="637">
        <f t="shared" ref="Q308:S323" si="115">Q283</f>
        <v>525500</v>
      </c>
      <c r="R308" s="638">
        <f t="shared" si="115"/>
        <v>703800</v>
      </c>
      <c r="S308" s="639">
        <f t="shared" si="115"/>
        <v>743200</v>
      </c>
      <c r="T308" s="637">
        <f>L308*$AH$6*AD$12</f>
        <v>0</v>
      </c>
      <c r="U308" s="640" t="e">
        <f>$AH$6*(1-AE$11)*((1+HLOOKUP($A$306,FC_Premissas!$D$5:$W$16,14,FALSE)^0.0833-1))*L308*12</f>
        <v>#REF!</v>
      </c>
      <c r="V308" s="638">
        <f>M308*$AP$6*AL$12</f>
        <v>0</v>
      </c>
      <c r="W308" s="669" t="e">
        <f>$AP$6*(1-AM$11)*((1+HLOOKUP($A$306,FC_Premissas!$D$5:$W$16,14,FALSE)^0.0833-1))*M308*12</f>
        <v>#REF!</v>
      </c>
      <c r="X308" s="637">
        <f>N308*$AX$6*AT$12</f>
        <v>0</v>
      </c>
      <c r="Y308" s="640" t="e">
        <f>$AX$6*(1-AU$11)*((1+HLOOKUP($A$306,FC_Premissas!$D$5:$W$16,14,FALSE)^0.0833-1))*N308*12</f>
        <v>#REF!</v>
      </c>
      <c r="Z308" s="638">
        <f t="shared" ref="Z308:AA328" si="116">T308+V308+X308</f>
        <v>0</v>
      </c>
      <c r="AA308" s="669" t="e">
        <f t="shared" si="116"/>
        <v>#REF!</v>
      </c>
      <c r="AB308" s="641"/>
    </row>
    <row r="309" spans="1:28" x14ac:dyDescent="0.2">
      <c r="A309" s="984"/>
      <c r="B309" s="633">
        <v>1</v>
      </c>
      <c r="C309" s="634">
        <f>IF(A306&lt;=$F$3,L283,0)</f>
        <v>0</v>
      </c>
      <c r="D309" s="598">
        <f>IF(A306&lt;=$F$3,M283,0)</f>
        <v>0</v>
      </c>
      <c r="E309" s="598">
        <f>IF(A306&lt;=$F$3,N283,0)</f>
        <v>0</v>
      </c>
      <c r="F309" s="634"/>
      <c r="G309" s="598"/>
      <c r="H309" s="677"/>
      <c r="I309" s="598"/>
      <c r="J309" s="598"/>
      <c r="K309" s="676"/>
      <c r="L309" s="634">
        <f>IF(A306&lt;=$F$3,C309+F309-I309,0)</f>
        <v>0</v>
      </c>
      <c r="M309" s="598">
        <f>IF(A306&lt;=$F$3,D309+G309-J309,0)</f>
        <v>0</v>
      </c>
      <c r="N309" s="598">
        <f>IF(A306&lt;=$F$3,E309+H309-K309,0)</f>
        <v>0</v>
      </c>
      <c r="O309" s="635">
        <f>IF(A306&lt;=$F$3,F309*Q309+G309*R309+H309*S309,0)</f>
        <v>0</v>
      </c>
      <c r="P309" s="636">
        <f>IF(A306&lt;=$F$3,I309*Q309+J309*R309+K309*S309,0)</f>
        <v>0</v>
      </c>
      <c r="Q309" s="637">
        <f t="shared" si="115"/>
        <v>439509.09090909094</v>
      </c>
      <c r="R309" s="638">
        <f t="shared" si="115"/>
        <v>590567.30181818188</v>
      </c>
      <c r="S309" s="639">
        <f t="shared" si="115"/>
        <v>623520.02909090917</v>
      </c>
      <c r="T309" s="637">
        <f>L309*$AH$6*AD$13</f>
        <v>0</v>
      </c>
      <c r="U309" s="640" t="e">
        <f>$AH$6*(1-AE$12)*((1+HLOOKUP($A$306,FC_Premissas!$D$5:$W$16,14,FALSE)^0.0833-1))*L309*12</f>
        <v>#REF!</v>
      </c>
      <c r="V309" s="638">
        <f>M309*$AP$6*AL$13</f>
        <v>0</v>
      </c>
      <c r="W309" s="669" t="e">
        <f>$AP$6*(1-AM$12)*((1+HLOOKUP($A$306,FC_Premissas!$D$5:$W$16,14,FALSE))^0.0833-1)*M309*12</f>
        <v>#REF!</v>
      </c>
      <c r="X309" s="637">
        <f>N309*$AX$6*AT$13</f>
        <v>0</v>
      </c>
      <c r="Y309" s="640" t="e">
        <f>$AX$6*(1-AU$12)*((1+HLOOKUP($A$306,FC_Premissas!$D$5:$W$16,14,FALSE))^0.0833-1)*N309*12</f>
        <v>#REF!</v>
      </c>
      <c r="Z309" s="638">
        <f t="shared" si="116"/>
        <v>0</v>
      </c>
      <c r="AA309" s="669" t="e">
        <f t="shared" si="116"/>
        <v>#REF!</v>
      </c>
      <c r="AB309" s="641"/>
    </row>
    <row r="310" spans="1:28" x14ac:dyDescent="0.2">
      <c r="A310" s="984"/>
      <c r="B310" s="633">
        <v>2</v>
      </c>
      <c r="C310" s="634">
        <f>IF(A306&lt;=$F$3,L284,0)</f>
        <v>0</v>
      </c>
      <c r="D310" s="598">
        <f>IF(A306&lt;=$F$3,M284,0)</f>
        <v>0</v>
      </c>
      <c r="E310" s="598">
        <f>IF(A306&lt;=$F$3,N284,0)</f>
        <v>0</v>
      </c>
      <c r="F310" s="634"/>
      <c r="G310" s="598"/>
      <c r="H310" s="677"/>
      <c r="I310" s="598"/>
      <c r="J310" s="598"/>
      <c r="K310" s="676"/>
      <c r="L310" s="634">
        <f>IF(A306&lt;=$F$3,C310+F310-I310,0)</f>
        <v>0</v>
      </c>
      <c r="M310" s="598">
        <f>IF(A306&lt;=$F$3,D310+G310-J310,0)</f>
        <v>0</v>
      </c>
      <c r="N310" s="598">
        <f>IF(A306&lt;=$F$3,E310+H310-K310,0)</f>
        <v>0</v>
      </c>
      <c r="O310" s="635">
        <f>IF(A306&lt;=$F$3,F310*Q310+G310*R310+H310*S310,0)</f>
        <v>0</v>
      </c>
      <c r="P310" s="636">
        <f>IF(A306&lt;=$F$3,I310*Q310+J310*R310+K310*S310,0)</f>
        <v>0</v>
      </c>
      <c r="Q310" s="637">
        <f t="shared" si="115"/>
        <v>362117.27272727271</v>
      </c>
      <c r="R310" s="638">
        <f t="shared" si="115"/>
        <v>488657.87345454545</v>
      </c>
      <c r="S310" s="639">
        <f t="shared" si="115"/>
        <v>515808.05527272727</v>
      </c>
      <c r="T310" s="637">
        <f>L310*$AH$6*AD$14</f>
        <v>0</v>
      </c>
      <c r="U310" s="640" t="e">
        <f>$AH$6*(1-AE$13)*((1+HLOOKUP($A$306,FC_Premissas!$D$5:$W$16,14,FALSE)^0.0833-1))*L310*12</f>
        <v>#REF!</v>
      </c>
      <c r="V310" s="638">
        <f>M310*$AP$6*AL$14</f>
        <v>0</v>
      </c>
      <c r="W310" s="669" t="e">
        <f>$AP$6*(1-AM$13)*((1+HLOOKUP($A$306,FC_Premissas!$D$5:$W$16,14,FALSE))^0.0833-1)*M310*12</f>
        <v>#REF!</v>
      </c>
      <c r="X310" s="637">
        <f>N310*$AX$6*AT$14</f>
        <v>0</v>
      </c>
      <c r="Y310" s="640" t="e">
        <f>$AX$6*(1-AU$13)*((1+HLOOKUP($A$306,FC_Premissas!$D$5:$W$16,14,FALSE))^0.0833-1)*N310*12</f>
        <v>#REF!</v>
      </c>
      <c r="Z310" s="638">
        <f t="shared" si="116"/>
        <v>0</v>
      </c>
      <c r="AA310" s="669" t="e">
        <f t="shared" si="116"/>
        <v>#REF!</v>
      </c>
      <c r="AB310" s="641"/>
    </row>
    <row r="311" spans="1:28" x14ac:dyDescent="0.2">
      <c r="A311" s="984"/>
      <c r="B311" s="633">
        <v>3</v>
      </c>
      <c r="C311" s="634">
        <f>IF(A306&lt;=$F$3,L285,0)</f>
        <v>0</v>
      </c>
      <c r="D311" s="598">
        <f>IF(A306&lt;=$F$3,M285,0)</f>
        <v>0</v>
      </c>
      <c r="E311" s="598">
        <f>IF(A306&lt;=$F$3,N285,0)</f>
        <v>0</v>
      </c>
      <c r="F311" s="634"/>
      <c r="G311" s="598"/>
      <c r="H311" s="677"/>
      <c r="I311" s="598"/>
      <c r="J311" s="598"/>
      <c r="K311" s="676"/>
      <c r="L311" s="634">
        <f>IF(A306&lt;=$F$3,C311+F311-I311,0)</f>
        <v>0</v>
      </c>
      <c r="M311" s="598">
        <f>IF(A306&lt;=$F$3,D311+G311-J311,0)</f>
        <v>0</v>
      </c>
      <c r="N311" s="598">
        <f>IF(A306&lt;=$F$3,E311+H311-K311,0)</f>
        <v>0</v>
      </c>
      <c r="O311" s="635">
        <f>IF(A306&lt;=$F$3,F311*Q311+G311*R311+H311*S311,0)</f>
        <v>0</v>
      </c>
      <c r="P311" s="636">
        <f>IF(A306&lt;=$F$3,I311*Q311+J311*R311+K311*S311,0)</f>
        <v>0</v>
      </c>
      <c r="Q311" s="637">
        <f t="shared" si="115"/>
        <v>293324.54545454541</v>
      </c>
      <c r="R311" s="638">
        <f t="shared" si="115"/>
        <v>398071.71490909089</v>
      </c>
      <c r="S311" s="639">
        <f t="shared" si="115"/>
        <v>420064.07854545448</v>
      </c>
      <c r="T311" s="637">
        <f>L311*$AH$6*AD$15</f>
        <v>0</v>
      </c>
      <c r="U311" s="640" t="e">
        <f>$AH$6*(1-AE$14)*((1+HLOOKUP($A$306,FC_Premissas!$D$5:$W$16,14,FALSE)^0.0833-1))*L311*12</f>
        <v>#REF!</v>
      </c>
      <c r="V311" s="638">
        <f>M311*$AP$6*AL$15</f>
        <v>0</v>
      </c>
      <c r="W311" s="669" t="e">
        <f>$AP$6*(1-AM$14)*((1+HLOOKUP($A$306,FC_Premissas!$D$5:$W$16,14,FALSE))^0.0833-1)*M311*12</f>
        <v>#REF!</v>
      </c>
      <c r="X311" s="637">
        <f>N311*$AX$6*AT$15</f>
        <v>0</v>
      </c>
      <c r="Y311" s="640" t="e">
        <f>$AX$6*(1-AU$14)*((1+HLOOKUP($A$306,FC_Premissas!$D$5:$W$16,14,FALSE))^0.0833-1)*N311*12</f>
        <v>#REF!</v>
      </c>
      <c r="Z311" s="638">
        <f t="shared" si="116"/>
        <v>0</v>
      </c>
      <c r="AA311" s="669" t="e">
        <f t="shared" si="116"/>
        <v>#REF!</v>
      </c>
      <c r="AB311" s="641"/>
    </row>
    <row r="312" spans="1:28" x14ac:dyDescent="0.2">
      <c r="A312" s="984"/>
      <c r="B312" s="633">
        <v>4</v>
      </c>
      <c r="C312" s="634">
        <f>IF(A306&lt;=$F$3,L286,0)</f>
        <v>0</v>
      </c>
      <c r="D312" s="598">
        <f>IF(A306&lt;=$F$3,M286,0)</f>
        <v>0</v>
      </c>
      <c r="E312" s="598">
        <f>IF(A306&lt;=$F$3,N286,0)</f>
        <v>0</v>
      </c>
      <c r="F312" s="634"/>
      <c r="G312" s="598"/>
      <c r="H312" s="677"/>
      <c r="I312" s="598"/>
      <c r="J312" s="598"/>
      <c r="K312" s="676"/>
      <c r="L312" s="634">
        <f>IF(A306&lt;=$F$3,C312+F312-I312,0)</f>
        <v>0</v>
      </c>
      <c r="M312" s="598">
        <f>IF(A306&lt;=$F$3,D312+G312-J312,0)</f>
        <v>0</v>
      </c>
      <c r="N312" s="598">
        <f>IF(A306&lt;=$F$3,E312+H312-K312,0)</f>
        <v>0</v>
      </c>
      <c r="O312" s="635">
        <f>IF(A306&lt;=$F$3,F312*Q312+G312*R312+H312*S312,0)</f>
        <v>0</v>
      </c>
      <c r="P312" s="636">
        <f>IF(A306&lt;=$F$3,I312*Q312+J312*R312+K312*S312,0)</f>
        <v>0</v>
      </c>
      <c r="Q312" s="637">
        <f t="shared" si="115"/>
        <v>233130.90909090909</v>
      </c>
      <c r="R312" s="638">
        <f t="shared" si="115"/>
        <v>318808.82618181815</v>
      </c>
      <c r="S312" s="639">
        <f t="shared" si="115"/>
        <v>336288.09890909091</v>
      </c>
      <c r="T312" s="637">
        <f>L312*$AH$6*AD$16</f>
        <v>0</v>
      </c>
      <c r="U312" s="640" t="e">
        <f>$AH$6*(1-AE$15)*((1+HLOOKUP($A$306,FC_Premissas!$D$5:$W$16,14,FALSE)^0.0833-1))*L312*12</f>
        <v>#REF!</v>
      </c>
      <c r="V312" s="638">
        <f>M312*$AP$6*AL$16</f>
        <v>0</v>
      </c>
      <c r="W312" s="669" t="e">
        <f>$AP$6*(1-AM$15)*((1+HLOOKUP($A$306,FC_Premissas!$D$5:$W$16,14,FALSE))^0.0833-1)*M312*12</f>
        <v>#REF!</v>
      </c>
      <c r="X312" s="637">
        <f>N312*$AX$6*AT$16</f>
        <v>0</v>
      </c>
      <c r="Y312" s="640" t="e">
        <f>$AX$6*(1-AU$15)*((1+HLOOKUP($A$306,FC_Premissas!$D$5:$W$16,14,FALSE))^0.0833-1)*N312*12</f>
        <v>#REF!</v>
      </c>
      <c r="Z312" s="638">
        <f t="shared" si="116"/>
        <v>0</v>
      </c>
      <c r="AA312" s="669" t="e">
        <f t="shared" si="116"/>
        <v>#REF!</v>
      </c>
      <c r="AB312" s="641"/>
    </row>
    <row r="313" spans="1:28" x14ac:dyDescent="0.2">
      <c r="A313" s="984"/>
      <c r="B313" s="633">
        <v>5</v>
      </c>
      <c r="C313" s="634">
        <f>IF(A306&lt;=$F$3,L287,0)</f>
        <v>0</v>
      </c>
      <c r="D313" s="598">
        <f>IF(A306&lt;=$F$3,M287,0)</f>
        <v>0</v>
      </c>
      <c r="E313" s="598">
        <f>IF(A306&lt;=$F$3,N287,0)</f>
        <v>0</v>
      </c>
      <c r="F313" s="634"/>
      <c r="G313" s="598"/>
      <c r="H313" s="677">
        <v>1</v>
      </c>
      <c r="I313" s="598"/>
      <c r="J313" s="598"/>
      <c r="K313" s="676"/>
      <c r="L313" s="634">
        <f>IF(A306&lt;=$F$3,C313+F313-I313,0)</f>
        <v>0</v>
      </c>
      <c r="M313" s="598">
        <f>IF(A306&lt;=$F$3,D313+G313-J313,0)</f>
        <v>0</v>
      </c>
      <c r="N313" s="598">
        <f>IF(A306&lt;=$F$3,E313+H313-K313,0)</f>
        <v>1</v>
      </c>
      <c r="O313" s="635">
        <f>IF(A306&lt;=$F$3,F313*Q313+G313*R313+H313*S313,0)</f>
        <v>264480.11636363639</v>
      </c>
      <c r="P313" s="636">
        <f>IF(A306&lt;=$F$3,I313*Q313+J313*R313+K313*S313,0)</f>
        <v>0</v>
      </c>
      <c r="Q313" s="637">
        <f t="shared" si="115"/>
        <v>181536.36363636365</v>
      </c>
      <c r="R313" s="638">
        <f t="shared" si="115"/>
        <v>250869.20727272728</v>
      </c>
      <c r="S313" s="639">
        <f t="shared" si="115"/>
        <v>264480.11636363639</v>
      </c>
      <c r="T313" s="637">
        <f>L313*$AH$6*AD$17</f>
        <v>0</v>
      </c>
      <c r="U313" s="640" t="e">
        <f>$AH$6*(1-AE$16)*((1+HLOOKUP($A$306,FC_Premissas!$D$5:$W$16,14,FALSE)^0.0833-1))*L313*12</f>
        <v>#REF!</v>
      </c>
      <c r="V313" s="638">
        <f>M313*$AP$6*AL$17</f>
        <v>0</v>
      </c>
      <c r="W313" s="669" t="e">
        <f>$AP$6*(1-AM$16)*((1+HLOOKUP($A$306,FC_Premissas!$D$5:$W$16,14,FALSE))^0.0833-1)*M313*12</f>
        <v>#REF!</v>
      </c>
      <c r="X313" s="637">
        <f>N313*$AX$6*AT$17</f>
        <v>59839.985454545451</v>
      </c>
      <c r="Y313" s="640" t="e">
        <f>$AX$6*(1-AU$16)*((1+HLOOKUP($A$306,FC_Premissas!$D$5:$W$16,14,FALSE))^0.0833-1)*N313*12</f>
        <v>#REF!</v>
      </c>
      <c r="Z313" s="638">
        <f t="shared" si="116"/>
        <v>59839.985454545451</v>
      </c>
      <c r="AA313" s="669" t="e">
        <f t="shared" si="116"/>
        <v>#REF!</v>
      </c>
      <c r="AB313" s="641"/>
    </row>
    <row r="314" spans="1:28" x14ac:dyDescent="0.2">
      <c r="A314" s="984"/>
      <c r="B314" s="633">
        <v>6</v>
      </c>
      <c r="C314" s="634">
        <f>IF(A306&lt;=$F$3,L288,0)</f>
        <v>0</v>
      </c>
      <c r="D314" s="598">
        <f>IF(A306&lt;=$F$3,M288,0)</f>
        <v>0</v>
      </c>
      <c r="E314" s="598">
        <f>IF(A306&lt;=$F$3,N288,0)</f>
        <v>1</v>
      </c>
      <c r="F314" s="634"/>
      <c r="G314" s="598"/>
      <c r="H314" s="650"/>
      <c r="I314" s="598"/>
      <c r="J314" s="598"/>
      <c r="K314" s="676"/>
      <c r="L314" s="634">
        <f>IF(A306&lt;=$F$3,C314+F314-I314,0)</f>
        <v>0</v>
      </c>
      <c r="M314" s="598">
        <f>IF(A306&lt;=$F$3,D314+G314-J314,0)</f>
        <v>0</v>
      </c>
      <c r="N314" s="598">
        <f>IF(A306&lt;=$F$3,E314+H314-K314,0)</f>
        <v>1</v>
      </c>
      <c r="O314" s="635">
        <f>IF(A306&lt;=$F$3,F314*Q314+G314*R314+H314*S314,0)</f>
        <v>0</v>
      </c>
      <c r="P314" s="636">
        <f>IF(A306&lt;=$F$3,I314*Q314+J314*R314+K314*S314,0)</f>
        <v>0</v>
      </c>
      <c r="Q314" s="637">
        <f t="shared" si="115"/>
        <v>138540.90909090912</v>
      </c>
      <c r="R314" s="638">
        <f t="shared" si="115"/>
        <v>194252.85818181818</v>
      </c>
      <c r="S314" s="639">
        <f t="shared" si="115"/>
        <v>204640.13090909092</v>
      </c>
      <c r="T314" s="637">
        <f>L314*$AH$6*AD$18</f>
        <v>0</v>
      </c>
      <c r="U314" s="640" t="e">
        <f>$AH$6*(1-AE$17)*((1+HLOOKUP($A$306,FC_Premissas!$D$5:$W$16,14,FALSE)^0.0833-1))*L314*12</f>
        <v>#REF!</v>
      </c>
      <c r="V314" s="638">
        <f>M314*$AP$6*AL$18</f>
        <v>0</v>
      </c>
      <c r="W314" s="669" t="e">
        <f>$AP$6*(1-AM$17)*((1+HLOOKUP($A$306,FC_Premissas!$D$5:$W$16,14,FALSE))^0.0833-1)*M314*12</f>
        <v>#REF!</v>
      </c>
      <c r="X314" s="637">
        <f>N314*$AX$6*AT$18</f>
        <v>47871.988363636367</v>
      </c>
      <c r="Y314" s="640" t="e">
        <f>$AX$6*(1-AU$17)*((1+HLOOKUP($A$306,FC_Premissas!$D$5:$W$16,14,FALSE))^0.0833-1)*N314*12</f>
        <v>#REF!</v>
      </c>
      <c r="Z314" s="638">
        <f t="shared" si="116"/>
        <v>47871.988363636367</v>
      </c>
      <c r="AA314" s="669" t="e">
        <f t="shared" si="116"/>
        <v>#REF!</v>
      </c>
      <c r="AB314" s="641"/>
    </row>
    <row r="315" spans="1:28" x14ac:dyDescent="0.2">
      <c r="A315" s="984"/>
      <c r="B315" s="633">
        <v>7</v>
      </c>
      <c r="C315" s="634">
        <f>IF(A306&lt;=$F$3,L289,0)</f>
        <v>0</v>
      </c>
      <c r="D315" s="598">
        <f>IF(A306&lt;=$F$3,M289,0)</f>
        <v>0</v>
      </c>
      <c r="E315" s="598">
        <f>IF(A306&lt;=$F$3,N289,0)</f>
        <v>3</v>
      </c>
      <c r="F315" s="634"/>
      <c r="G315" s="598"/>
      <c r="H315" s="650"/>
      <c r="I315" s="598"/>
      <c r="J315" s="598"/>
      <c r="K315" s="676"/>
      <c r="L315" s="634">
        <f>IF(A306&lt;=$F$3,C315+F315-I315,0)</f>
        <v>0</v>
      </c>
      <c r="M315" s="598">
        <f>IF(A306&lt;=$F$3,D315+G315-J315,0)</f>
        <v>0</v>
      </c>
      <c r="N315" s="598">
        <f>IF(A306&lt;=$F$3,E315+H315-K315,0)</f>
        <v>3</v>
      </c>
      <c r="O315" s="635">
        <f>IF(A306&lt;=$F$3,F315*Q315+G315*R315+H315*S315,0)</f>
        <v>0</v>
      </c>
      <c r="P315" s="636">
        <f>IF(A306&lt;=$F$3,I315*Q315+J315*R315+K315*S315,0)</f>
        <v>0</v>
      </c>
      <c r="Q315" s="637">
        <f t="shared" si="115"/>
        <v>104144.54545454548</v>
      </c>
      <c r="R315" s="638">
        <f t="shared" si="115"/>
        <v>148959.77890909094</v>
      </c>
      <c r="S315" s="639">
        <f t="shared" si="115"/>
        <v>156768.14254545458</v>
      </c>
      <c r="T315" s="637">
        <f>L315*$AH$6*AD$19</f>
        <v>0</v>
      </c>
      <c r="U315" s="640" t="e">
        <f>$AH$6*(1-AE$18)*((1+HLOOKUP($A$306,FC_Premissas!$D$5:$W$16,14,FALSE)^0.0833-1))*L315*12</f>
        <v>#REF!</v>
      </c>
      <c r="V315" s="638">
        <f>M315*$AP$6*AL$19</f>
        <v>0</v>
      </c>
      <c r="W315" s="669" t="e">
        <f>$AP$6*(1-AM$18)*((1+HLOOKUP($A$306,FC_Premissas!$D$5:$W$16,14,FALSE))^0.0833-1)*M315*12</f>
        <v>#REF!</v>
      </c>
      <c r="X315" s="637">
        <f>N315*$AX$6*AT$19</f>
        <v>107711.97381818182</v>
      </c>
      <c r="Y315" s="640" t="e">
        <f>$AX$6*(1-AU$18)*((1+HLOOKUP($A$306,FC_Premissas!$D$5:$W$16,14,FALSE))^0.0833-1)*N315*12</f>
        <v>#REF!</v>
      </c>
      <c r="Z315" s="638">
        <f t="shared" si="116"/>
        <v>107711.97381818182</v>
      </c>
      <c r="AA315" s="669" t="e">
        <f t="shared" si="116"/>
        <v>#REF!</v>
      </c>
      <c r="AB315" s="641"/>
    </row>
    <row r="316" spans="1:28" x14ac:dyDescent="0.2">
      <c r="A316" s="984"/>
      <c r="B316" s="633">
        <v>8</v>
      </c>
      <c r="C316" s="634">
        <f>IF(A306&lt;=$F$3,L290,0)</f>
        <v>0</v>
      </c>
      <c r="D316" s="598">
        <f>IF(A306&lt;=$F$3,M290,0)</f>
        <v>0</v>
      </c>
      <c r="E316" s="598">
        <f>IF(A306&lt;=$F$3,N290,0)</f>
        <v>0</v>
      </c>
      <c r="F316" s="634"/>
      <c r="G316" s="598"/>
      <c r="H316" s="650"/>
      <c r="I316" s="598"/>
      <c r="J316" s="598"/>
      <c r="K316" s="676"/>
      <c r="L316" s="634">
        <f>IF(A306&lt;=$F$3,C316+F316-I316,0)</f>
        <v>0</v>
      </c>
      <c r="M316" s="598">
        <f>IF(A306&lt;=$F$3,D316+G316-J316,0)</f>
        <v>0</v>
      </c>
      <c r="N316" s="598">
        <f>IF(A306&lt;=$F$3,E316+H316-K316,0)</f>
        <v>0</v>
      </c>
      <c r="O316" s="635">
        <f>IF(A306&lt;=$F$3,F316*Q316+G316*R316+H316*S316,0)</f>
        <v>0</v>
      </c>
      <c r="P316" s="636">
        <f>IF(A306&lt;=$F$3,I316*Q316+J316*R316+K316*S316,0)</f>
        <v>0</v>
      </c>
      <c r="Q316" s="637">
        <f t="shared" si="115"/>
        <v>78347.272727272764</v>
      </c>
      <c r="R316" s="638">
        <f t="shared" si="115"/>
        <v>114989.9694545455</v>
      </c>
      <c r="S316" s="639">
        <f t="shared" si="115"/>
        <v>120864.15127272732</v>
      </c>
      <c r="T316" s="637">
        <f>L316*$AH$6*AD$20</f>
        <v>0</v>
      </c>
      <c r="U316" s="640" t="e">
        <f>$AH$6*(1-AE$19)*((1+HLOOKUP($A$306,FC_Premissas!$D$5:$W$16,14,FALSE)^0.0833-1))*L316*12</f>
        <v>#REF!</v>
      </c>
      <c r="V316" s="638">
        <f>M316*$AP$6*AL$20</f>
        <v>0</v>
      </c>
      <c r="W316" s="669" t="e">
        <f>$AP$6*(1-AM$19)*((1+HLOOKUP($A$306,FC_Premissas!$D$5:$W$16,14,FALSE))^0.0833-1)*M316*12</f>
        <v>#REF!</v>
      </c>
      <c r="X316" s="637">
        <f>N316*$AX$6*AT$20</f>
        <v>0</v>
      </c>
      <c r="Y316" s="640" t="e">
        <f>$AX$6*(1-AU$19)*((1+HLOOKUP($A$306,FC_Premissas!$D$5:$W$16,14,FALSE))^0.0833-1)*N316*12</f>
        <v>#REF!</v>
      </c>
      <c r="Z316" s="638">
        <f t="shared" si="116"/>
        <v>0</v>
      </c>
      <c r="AA316" s="669" t="e">
        <f t="shared" si="116"/>
        <v>#REF!</v>
      </c>
      <c r="AB316" s="641"/>
    </row>
    <row r="317" spans="1:28" x14ac:dyDescent="0.2">
      <c r="A317" s="984"/>
      <c r="B317" s="633">
        <v>9</v>
      </c>
      <c r="C317" s="634">
        <f>IF(A306&lt;=$F$3,L291,0)</f>
        <v>0</v>
      </c>
      <c r="D317" s="598">
        <f>IF(A306&lt;=$F$3,M291,0)</f>
        <v>0</v>
      </c>
      <c r="E317" s="598">
        <f>IF(A306&lt;=$F$3,N291,0)</f>
        <v>2</v>
      </c>
      <c r="F317" s="634"/>
      <c r="G317" s="598"/>
      <c r="H317" s="650"/>
      <c r="I317" s="598"/>
      <c r="J317" s="598"/>
      <c r="K317" s="676"/>
      <c r="L317" s="634">
        <f>IF(A306&lt;=$F$3,C317+F317-I317,0)</f>
        <v>0</v>
      </c>
      <c r="M317" s="598">
        <f>IF(A306&lt;=$F$3,D317+G317-J317,0)</f>
        <v>0</v>
      </c>
      <c r="N317" s="598">
        <f>IF(A306&lt;=$F$3,E317+H317-K317,0)</f>
        <v>2</v>
      </c>
      <c r="O317" s="635">
        <f>IF(A306&lt;=$F$3,F317*Q317+G317*R317+H317*S317,0)</f>
        <v>0</v>
      </c>
      <c r="P317" s="636">
        <f>IF(A306&lt;=$F$3,I317*Q317+J317*R317+K317*S317,0)</f>
        <v>0</v>
      </c>
      <c r="Q317" s="637">
        <f t="shared" si="115"/>
        <v>61149.090909090955</v>
      </c>
      <c r="R317" s="638">
        <f t="shared" si="115"/>
        <v>92343.429818181874</v>
      </c>
      <c r="S317" s="639">
        <f t="shared" si="115"/>
        <v>96928.157090909139</v>
      </c>
      <c r="T317" s="637">
        <f>L317*$AH$6*AD$21</f>
        <v>0</v>
      </c>
      <c r="U317" s="640" t="e">
        <f>$AH$6*(1-AE$20)*((1+HLOOKUP($A$306,FC_Premissas!$D$5:$W$16,14,FALSE)^0.0833-1))*L317*12</f>
        <v>#REF!</v>
      </c>
      <c r="V317" s="638">
        <f>M317*$AP$6*AL$21</f>
        <v>0</v>
      </c>
      <c r="W317" s="669" t="e">
        <f>$AP$6*(1-AM$20)*((1+HLOOKUP($A$306,FC_Premissas!$D$5:$W$16,14,FALSE))^0.0833-1)*M317*12</f>
        <v>#REF!</v>
      </c>
      <c r="X317" s="637">
        <f>N317*$AX$6*AT$21</f>
        <v>23935.994181818183</v>
      </c>
      <c r="Y317" s="640" t="e">
        <f>$AX$6*(1-AU$20)*((1+HLOOKUP($A$306,FC_Premissas!$D$5:$W$16,14,FALSE))^0.0833-1)*N317*12</f>
        <v>#REF!</v>
      </c>
      <c r="Z317" s="638">
        <f t="shared" si="116"/>
        <v>23935.994181818183</v>
      </c>
      <c r="AA317" s="669" t="e">
        <f t="shared" si="116"/>
        <v>#REF!</v>
      </c>
      <c r="AB317" s="641"/>
    </row>
    <row r="318" spans="1:28" x14ac:dyDescent="0.2">
      <c r="A318" s="984"/>
      <c r="B318" s="633">
        <v>10</v>
      </c>
      <c r="C318" s="634">
        <f>IF(A306&lt;=$F$3,L292,0)</f>
        <v>0</v>
      </c>
      <c r="D318" s="598">
        <f>IF(A306&lt;=$F$3,M292,0)</f>
        <v>0</v>
      </c>
      <c r="E318" s="598">
        <f>IF(A306&lt;=$F$3,N292,0)</f>
        <v>2</v>
      </c>
      <c r="F318" s="634"/>
      <c r="G318" s="598"/>
      <c r="H318" s="650"/>
      <c r="I318" s="598"/>
      <c r="J318" s="598"/>
      <c r="K318" s="676"/>
      <c r="L318" s="634">
        <f>IF(A306&lt;=$F$3,C318+F318-I318,0)</f>
        <v>0</v>
      </c>
      <c r="M318" s="598">
        <f>IF(A306&lt;=$F$3,D318+G318-J318,0)</f>
        <v>0</v>
      </c>
      <c r="N318" s="598">
        <f>IF(A306&lt;=$F$3,E318+H318-K318,0)</f>
        <v>2</v>
      </c>
      <c r="O318" s="635">
        <f>IF(A306&lt;=$F$3,F318*Q318+G318*R318+H318*S318,0)</f>
        <v>0</v>
      </c>
      <c r="P318" s="636">
        <f>IF(A306&lt;=$F$3,I318*Q318+J318*R318+K318*S318,0)</f>
        <v>0</v>
      </c>
      <c r="Q318" s="637">
        <f t="shared" si="115"/>
        <v>52550.000000000044</v>
      </c>
      <c r="R318" s="638">
        <f t="shared" si="115"/>
        <v>81020.160000000062</v>
      </c>
      <c r="S318" s="639">
        <f t="shared" si="115"/>
        <v>84960.160000000062</v>
      </c>
      <c r="T318" s="637">
        <f>L318*$AH$6*AD$22</f>
        <v>0</v>
      </c>
      <c r="U318" s="640" t="e">
        <f>$AH$6*(1-AE$21)*((1+HLOOKUP($A$306,FC_Premissas!$D$5:$W$16,14,FALSE)^0.0833-1))*L318*12</f>
        <v>#REF!</v>
      </c>
      <c r="V318" s="638">
        <f>M318*$AP$6*AL$22</f>
        <v>0</v>
      </c>
      <c r="W318" s="669" t="e">
        <f>$AP$6*(1-AM$21)*((1+HLOOKUP($A$306,FC_Premissas!$D$5:$W$16,14,FALSE))^0.0833-1)*M318*12</f>
        <v>#REF!</v>
      </c>
      <c r="X318" s="637">
        <f>N318*$AX$6*AT$22</f>
        <v>0</v>
      </c>
      <c r="Y318" s="640" t="e">
        <f>$AX$6*(1-AU$21)*((1+HLOOKUP($A$306,FC_Premissas!$D$5:$W$16,14,FALSE))^0.0833-1)*N318*12</f>
        <v>#REF!</v>
      </c>
      <c r="Z318" s="638">
        <f t="shared" si="116"/>
        <v>0</v>
      </c>
      <c r="AA318" s="669" t="e">
        <f t="shared" si="116"/>
        <v>#REF!</v>
      </c>
      <c r="AB318" s="641"/>
    </row>
    <row r="319" spans="1:28" x14ac:dyDescent="0.2">
      <c r="A319" s="984"/>
      <c r="B319" s="633">
        <v>11</v>
      </c>
      <c r="C319" s="634">
        <f>IF(A306&lt;=$F$3,L293,0)</f>
        <v>0</v>
      </c>
      <c r="D319" s="598">
        <f>IF(A306&lt;=$F$3,M293,0)</f>
        <v>0</v>
      </c>
      <c r="E319" s="598">
        <f>IF(A306&lt;=$F$3,N293,0)</f>
        <v>2</v>
      </c>
      <c r="F319" s="634"/>
      <c r="G319" s="598"/>
      <c r="H319" s="650"/>
      <c r="I319" s="598"/>
      <c r="J319" s="598"/>
      <c r="K319" s="676"/>
      <c r="L319" s="634">
        <f>IF(A306&lt;=$F$3,C319+F319-I319,0)</f>
        <v>0</v>
      </c>
      <c r="M319" s="598">
        <f>IF(A306&lt;=$F$3,D319+G319-J319,0)</f>
        <v>0</v>
      </c>
      <c r="N319" s="598">
        <f>IF(A306&lt;=$F$3,E319+H319-K319,0)</f>
        <v>2</v>
      </c>
      <c r="O319" s="635">
        <f>IF(A306&lt;=$F$3,F319*Q319+G319*R319+H319*S319,0)</f>
        <v>0</v>
      </c>
      <c r="P319" s="636">
        <f>IF(A306&lt;=$F$3,I319*Q319+J319*R319+K319*S319,0)</f>
        <v>0</v>
      </c>
      <c r="Q319" s="637">
        <f t="shared" si="115"/>
        <v>52550.000000000044</v>
      </c>
      <c r="R319" s="638">
        <f t="shared" si="115"/>
        <v>81020.160000000062</v>
      </c>
      <c r="S319" s="639">
        <f t="shared" si="115"/>
        <v>84960.160000000062</v>
      </c>
      <c r="T319" s="637">
        <f>L319*$AH$6*AD$23</f>
        <v>0</v>
      </c>
      <c r="U319" s="640" t="e">
        <f>$AH$6*(1-AE$22)*((1+HLOOKUP($A$306,FC_Premissas!$D$5:$W$16,14,FALSE)^0.0833-1))*L319*12</f>
        <v>#REF!</v>
      </c>
      <c r="V319" s="638">
        <f>M319*$AP$6*AL$23</f>
        <v>0</v>
      </c>
      <c r="W319" s="669" t="e">
        <f>$AP$6*(1-AM$22)*((1+HLOOKUP($A$306,FC_Premissas!$D$5:$W$16,14,FALSE))^0.0833-1)*M319*12</f>
        <v>#REF!</v>
      </c>
      <c r="X319" s="637">
        <f>N319*$AX$6*AT$23</f>
        <v>0</v>
      </c>
      <c r="Y319" s="640" t="e">
        <f>$AX$6*(1-AU$22)*((1+HLOOKUP($A$306,FC_Premissas!$D$5:$W$16,14,FALSE))^0.0833-1)*N319*12</f>
        <v>#REF!</v>
      </c>
      <c r="Z319" s="638">
        <f t="shared" si="116"/>
        <v>0</v>
      </c>
      <c r="AA319" s="669" t="e">
        <f t="shared" si="116"/>
        <v>#REF!</v>
      </c>
      <c r="AB319" s="641"/>
    </row>
    <row r="320" spans="1:28" x14ac:dyDescent="0.2">
      <c r="A320" s="984"/>
      <c r="B320" s="633">
        <v>12</v>
      </c>
      <c r="C320" s="634">
        <f>IF(A306&lt;=$F$3,L294,0)</f>
        <v>0</v>
      </c>
      <c r="D320" s="598">
        <f>IF(A306&lt;=$F$3,M294,0)</f>
        <v>0</v>
      </c>
      <c r="E320" s="598">
        <f>IF(A306&lt;=$F$3,N294,0)</f>
        <v>1</v>
      </c>
      <c r="F320" s="634"/>
      <c r="G320" s="598"/>
      <c r="H320" s="650"/>
      <c r="I320" s="598"/>
      <c r="J320" s="598"/>
      <c r="K320" s="676">
        <v>1</v>
      </c>
      <c r="L320" s="634">
        <f>IF(A306&lt;=$F$3,C320+F320-I320,0)</f>
        <v>0</v>
      </c>
      <c r="M320" s="598">
        <f>IF(A306&lt;=$F$3,D320+G320-J320,0)</f>
        <v>0</v>
      </c>
      <c r="N320" s="598">
        <f>IF(A306&lt;=$F$3,E320+H320-K320,0)</f>
        <v>0</v>
      </c>
      <c r="O320" s="635">
        <f>IF(A306&lt;=$F$3,F320*Q320+G320*R320+H320*S320,0)</f>
        <v>0</v>
      </c>
      <c r="P320" s="636">
        <f>IF(A306&lt;=$F$3,I320*Q320+J320*R320+K320*S320,0)</f>
        <v>84960.160000000062</v>
      </c>
      <c r="Q320" s="637">
        <f t="shared" si="115"/>
        <v>52550.000000000044</v>
      </c>
      <c r="R320" s="638">
        <f t="shared" si="115"/>
        <v>81020.160000000062</v>
      </c>
      <c r="S320" s="639">
        <f t="shared" si="115"/>
        <v>84960.160000000062</v>
      </c>
      <c r="T320" s="637">
        <f>L320*$AH$6*AD$24</f>
        <v>0</v>
      </c>
      <c r="U320" s="640" t="e">
        <f>$AH$6*(1-AE$23)*((1+HLOOKUP($A$306,FC_Premissas!$D$5:$W$16,14,FALSE)^0.0833-1))*L320*12</f>
        <v>#REF!</v>
      </c>
      <c r="V320" s="638">
        <f>M320*$AP$6*AL$24</f>
        <v>0</v>
      </c>
      <c r="W320" s="669" t="e">
        <f>$AP$6*(1-AM$23)*((1+HLOOKUP($A$306,FC_Premissas!$D$5:$W$16,14,FALSE))^0.0833-1)*M320*12</f>
        <v>#REF!</v>
      </c>
      <c r="X320" s="637">
        <f>N320*$AX$6*AT$24</f>
        <v>0</v>
      </c>
      <c r="Y320" s="640" t="e">
        <f>$AX$6*(1-AU$23)*((1+HLOOKUP($A$306,FC_Premissas!$D$5:$W$16,14,FALSE))^0.0833-1)*N320*12</f>
        <v>#REF!</v>
      </c>
      <c r="Z320" s="638">
        <f t="shared" si="116"/>
        <v>0</v>
      </c>
      <c r="AA320" s="669" t="e">
        <f t="shared" si="116"/>
        <v>#REF!</v>
      </c>
      <c r="AB320" s="641"/>
    </row>
    <row r="321" spans="1:28" ht="11.25" customHeight="1" x14ac:dyDescent="0.2">
      <c r="A321" s="984"/>
      <c r="B321" s="633">
        <v>13</v>
      </c>
      <c r="C321" s="634">
        <f>IF(A306&lt;=$F$3,L295,0)</f>
        <v>0</v>
      </c>
      <c r="D321" s="598">
        <f>IF(A306&lt;=$F$3,M295,0)</f>
        <v>0</v>
      </c>
      <c r="E321" s="650">
        <f>IF(A306&lt;=$F$3,N295,0)</f>
        <v>0</v>
      </c>
      <c r="F321" s="634"/>
      <c r="G321" s="598"/>
      <c r="H321" s="598"/>
      <c r="I321" s="634"/>
      <c r="J321" s="598"/>
      <c r="K321" s="676">
        <v>0</v>
      </c>
      <c r="L321" s="634">
        <f>IF(A306&lt;=$F$3,C321+F321-I321,0)</f>
        <v>0</v>
      </c>
      <c r="M321" s="598">
        <f>IF(A306&lt;=$F$3,D321+G321-J321,0)</f>
        <v>0</v>
      </c>
      <c r="N321" s="598">
        <f>IF(A306&lt;=$F$3,E321+H321-K321,0)</f>
        <v>0</v>
      </c>
      <c r="O321" s="635">
        <f>IF(A306&lt;=$F$3,F321*Q321+G321*R321+H321*S321,0)</f>
        <v>0</v>
      </c>
      <c r="P321" s="636">
        <f>IF(A306&lt;=$F$3,I321*Q321+J321*R321+K321*S321,0)</f>
        <v>0</v>
      </c>
      <c r="Q321" s="637">
        <f t="shared" si="115"/>
        <v>52550.000000000044</v>
      </c>
      <c r="R321" s="638">
        <f t="shared" si="115"/>
        <v>81020.160000000062</v>
      </c>
      <c r="S321" s="639">
        <f t="shared" si="115"/>
        <v>84960.160000000062</v>
      </c>
      <c r="T321" s="637">
        <f>L321*$AH$6*AD$25</f>
        <v>0</v>
      </c>
      <c r="U321" s="640" t="e">
        <f>$AH$6*(1-AE$24)*((1+HLOOKUP($A$306,FC_Premissas!$D$5:$W$16,14,FALSE)^0.0833-1))*L321*12</f>
        <v>#REF!</v>
      </c>
      <c r="V321" s="638">
        <f>M321*$AP$6*AL$25</f>
        <v>0</v>
      </c>
      <c r="W321" s="669" t="e">
        <f>$AP$6*(1-AM$24)*((1+HLOOKUP($A$306,FC_Premissas!$D$5:$W$16,14,FALSE))^0.0833-1)*M321*12</f>
        <v>#REF!</v>
      </c>
      <c r="X321" s="637">
        <f>N321*$AX$6*AT$25</f>
        <v>0</v>
      </c>
      <c r="Y321" s="640" t="e">
        <f>$AX$6*(1-AU$24)*((1+HLOOKUP($A$306,FC_Premissas!$D$5:$W$16,14,FALSE))^0.0833-1)*N321*12</f>
        <v>#REF!</v>
      </c>
      <c r="Z321" s="638">
        <f t="shared" si="116"/>
        <v>0</v>
      </c>
      <c r="AA321" s="669" t="e">
        <f t="shared" si="116"/>
        <v>#REF!</v>
      </c>
      <c r="AB321" s="641"/>
    </row>
    <row r="322" spans="1:28" ht="11.25" customHeight="1" x14ac:dyDescent="0.2">
      <c r="A322" s="984"/>
      <c r="B322" s="633">
        <v>14</v>
      </c>
      <c r="C322" s="634">
        <f>IF(A306&lt;=$F$3,L296,0)</f>
        <v>0</v>
      </c>
      <c r="D322" s="598">
        <f>IF(A306&lt;=$F$3,M296,0)</f>
        <v>0</v>
      </c>
      <c r="E322" s="650">
        <f>IF(A306&lt;=$F$3,N296,0)</f>
        <v>0</v>
      </c>
      <c r="F322" s="634"/>
      <c r="G322" s="598"/>
      <c r="H322" s="598"/>
      <c r="I322" s="634"/>
      <c r="J322" s="598"/>
      <c r="K322" s="598"/>
      <c r="L322" s="634">
        <f>IF(A306&lt;=$F$3,C322+F322-I322,0)</f>
        <v>0</v>
      </c>
      <c r="M322" s="598">
        <f>IF(A306&lt;=$F$3,D322+G322-J322,0)</f>
        <v>0</v>
      </c>
      <c r="N322" s="598">
        <f>IF(A306&lt;=$F$3,E322+H322-K322,0)</f>
        <v>0</v>
      </c>
      <c r="O322" s="635">
        <f>IF(A306&lt;=$F$3,F322*Q322+G322*R322+H322*S322,0)</f>
        <v>0</v>
      </c>
      <c r="P322" s="636">
        <f>IF(A306&lt;=$F$3,I322*Q322+J322*R322+K322*S322,0)</f>
        <v>0</v>
      </c>
      <c r="Q322" s="637">
        <f t="shared" si="115"/>
        <v>52550.000000000044</v>
      </c>
      <c r="R322" s="638">
        <f t="shared" si="115"/>
        <v>81020.160000000062</v>
      </c>
      <c r="S322" s="639">
        <f t="shared" si="115"/>
        <v>84960.160000000062</v>
      </c>
      <c r="T322" s="637">
        <f>L322*$AH$6*AD$26</f>
        <v>0</v>
      </c>
      <c r="U322" s="640" t="e">
        <f>$AH$6*(1-AE$25)*((1+HLOOKUP($A$306,FC_Premissas!$D$5:$W$16,14,FALSE)^0.0833-1))*L322*12</f>
        <v>#REF!</v>
      </c>
      <c r="V322" s="638">
        <f>M322*$AP$6*AL$26</f>
        <v>0</v>
      </c>
      <c r="W322" s="669" t="e">
        <f>$AP$6*(1-AM$25)*((1+HLOOKUP($A$306,FC_Premissas!$D$5:$W$16,14,FALSE))^0.0833-1)*M322*12</f>
        <v>#REF!</v>
      </c>
      <c r="X322" s="637">
        <f>N322*$AX$6*AT$26</f>
        <v>0</v>
      </c>
      <c r="Y322" s="640" t="e">
        <f>$AX$6*(1-AU$25)*((1+HLOOKUP($A$306,FC_Premissas!$D$5:$W$16,14,FALSE))^0.0833-1)*N322*12</f>
        <v>#REF!</v>
      </c>
      <c r="Z322" s="638">
        <f t="shared" si="116"/>
        <v>0</v>
      </c>
      <c r="AA322" s="669" t="e">
        <f t="shared" si="116"/>
        <v>#REF!</v>
      </c>
      <c r="AB322" s="641"/>
    </row>
    <row r="323" spans="1:28" ht="11.25" customHeight="1" x14ac:dyDescent="0.2">
      <c r="A323" s="984"/>
      <c r="B323" s="633">
        <v>15</v>
      </c>
      <c r="C323" s="634">
        <f>IF(A306&lt;=$F$3,L297,0)</f>
        <v>0</v>
      </c>
      <c r="D323" s="598">
        <f>IF(A306&lt;=$F$3,M297,0)</f>
        <v>0</v>
      </c>
      <c r="E323" s="650">
        <f>IF(A306&lt;=$F$3,N297,0)</f>
        <v>0</v>
      </c>
      <c r="F323" s="634"/>
      <c r="G323" s="598"/>
      <c r="H323" s="598"/>
      <c r="I323" s="634"/>
      <c r="J323" s="598"/>
      <c r="K323" s="598"/>
      <c r="L323" s="634">
        <f>IF(A306&lt;=$F$3,C323+F323-I323,0)</f>
        <v>0</v>
      </c>
      <c r="M323" s="598">
        <f>IF(A306&lt;=$F$3,D323+G323-J323,0)</f>
        <v>0</v>
      </c>
      <c r="N323" s="598">
        <f>IF(A306&lt;=$F$3,E323+H323-K323,0)</f>
        <v>0</v>
      </c>
      <c r="O323" s="635">
        <f>IF(A306&lt;=$F$3,F323*Q323+G323*R323+H323*S323,0)</f>
        <v>0</v>
      </c>
      <c r="P323" s="636">
        <f>IF(A306&lt;=$F$3,I323*Q323+J323*R323+K323*S323,0)</f>
        <v>0</v>
      </c>
      <c r="Q323" s="637">
        <f t="shared" si="115"/>
        <v>52550.000000000044</v>
      </c>
      <c r="R323" s="638">
        <f t="shared" si="115"/>
        <v>81020.160000000062</v>
      </c>
      <c r="S323" s="639">
        <f t="shared" si="115"/>
        <v>84960.160000000062</v>
      </c>
      <c r="T323" s="637">
        <f t="shared" ref="T323:T328" si="117">L323*$AH$6*AD$27</f>
        <v>0</v>
      </c>
      <c r="U323" s="640" t="e">
        <f>$AH$6*(1-AE$26)*((1+HLOOKUP($A$306,FC_Premissas!$D$5:$W$16,14,FALSE)^0.0833-1))*L323*12</f>
        <v>#REF!</v>
      </c>
      <c r="V323" s="638">
        <f t="shared" ref="V323:V328" si="118">M323*$AP$6*AL$27</f>
        <v>0</v>
      </c>
      <c r="W323" s="669" t="e">
        <f>$AP$6*(1-AM$26)*((1+HLOOKUP($A$306,FC_Premissas!$D$5:$W$16,14,FALSE))^0.0833-1)*M323*12</f>
        <v>#REF!</v>
      </c>
      <c r="X323" s="637">
        <f t="shared" ref="X323:X328" si="119">N323*$AX$6*AT$27</f>
        <v>0</v>
      </c>
      <c r="Y323" s="640" t="e">
        <f>$AX$6*(1-AU$26)*((1+HLOOKUP($A$306,FC_Premissas!$D$5:$W$16,14,FALSE))^0.0833-1)*N323*12</f>
        <v>#REF!</v>
      </c>
      <c r="Z323" s="638">
        <f t="shared" si="116"/>
        <v>0</v>
      </c>
      <c r="AA323" s="640" t="e">
        <f t="shared" si="116"/>
        <v>#REF!</v>
      </c>
      <c r="AB323" s="641"/>
    </row>
    <row r="324" spans="1:28" x14ac:dyDescent="0.2">
      <c r="A324" s="984"/>
      <c r="B324" s="633">
        <v>16</v>
      </c>
      <c r="C324" s="634">
        <f>IF(A306&lt;=$F$3,L298,0)</f>
        <v>0</v>
      </c>
      <c r="D324" s="598">
        <f>IF(A306&lt;=$F$3,M298,0)</f>
        <v>0</v>
      </c>
      <c r="E324" s="650">
        <f>IF(A306&lt;=$F$3,N298,0)</f>
        <v>0</v>
      </c>
      <c r="F324" s="634"/>
      <c r="G324" s="598"/>
      <c r="H324" s="598"/>
      <c r="I324" s="634"/>
      <c r="J324" s="598"/>
      <c r="K324" s="598"/>
      <c r="L324" s="634">
        <f>IF(A306&lt;=$F$3,C324+F324-I324,0)</f>
        <v>0</v>
      </c>
      <c r="M324" s="598">
        <f>IF(A306&lt;=$F$3,D324+G324-J324,0)</f>
        <v>0</v>
      </c>
      <c r="N324" s="598">
        <f>IF(A306&lt;=$F$3,E324+H324-K324,0)</f>
        <v>0</v>
      </c>
      <c r="O324" s="635">
        <f>IF(A306&lt;=$F$3,F324*Q324+G324*R324+H324*S324,0)</f>
        <v>0</v>
      </c>
      <c r="P324" s="636">
        <f>IF(A306&lt;=$F$3,I324*Q324+J324*R324+K324*S324,0)</f>
        <v>0</v>
      </c>
      <c r="Q324" s="637">
        <f t="shared" ref="Q324:S328" si="120">Q299</f>
        <v>52550.000000000044</v>
      </c>
      <c r="R324" s="638">
        <f t="shared" si="120"/>
        <v>81020.160000000062</v>
      </c>
      <c r="S324" s="639">
        <f t="shared" si="120"/>
        <v>84960.160000000062</v>
      </c>
      <c r="T324" s="637">
        <f t="shared" si="117"/>
        <v>0</v>
      </c>
      <c r="U324" s="640" t="e">
        <f>$AH$6*(1-AE$27)*((1+HLOOKUP($A$306,FC_Premissas!$D$5:$W$16,14,FALSE)^0.0833-1))*L324*12</f>
        <v>#REF!</v>
      </c>
      <c r="V324" s="638">
        <f t="shared" si="118"/>
        <v>0</v>
      </c>
      <c r="W324" s="669" t="e">
        <f>$AP$6*(1-AM$27)*((1+HLOOKUP($A$306,FC_Premissas!$D$5:$W$16,14,FALSE))^0.0833-1)*M324*12</f>
        <v>#REF!</v>
      </c>
      <c r="X324" s="637">
        <f t="shared" si="119"/>
        <v>0</v>
      </c>
      <c r="Y324" s="640" t="e">
        <f>$AX$6*(1-AU$27)*((1+HLOOKUP($A$306,FC_Premissas!$D$5:$W$16,14,FALSE))^0.0833-1)*N324*12</f>
        <v>#REF!</v>
      </c>
      <c r="Z324" s="638">
        <f t="shared" si="116"/>
        <v>0</v>
      </c>
      <c r="AA324" s="640" t="e">
        <f t="shared" si="116"/>
        <v>#REF!</v>
      </c>
      <c r="AB324" s="641"/>
    </row>
    <row r="325" spans="1:28" x14ac:dyDescent="0.2">
      <c r="A325" s="984"/>
      <c r="B325" s="633">
        <v>17</v>
      </c>
      <c r="C325" s="634">
        <f>IF(A306&lt;=$F$3,L299,0)</f>
        <v>0</v>
      </c>
      <c r="D325" s="598">
        <f>IF(A306&lt;=$F$3,M299,0)</f>
        <v>0</v>
      </c>
      <c r="E325" s="650">
        <f>IF(A306&lt;=$F$3,N299,0)</f>
        <v>0</v>
      </c>
      <c r="F325" s="634"/>
      <c r="G325" s="598"/>
      <c r="H325" s="598"/>
      <c r="I325" s="634"/>
      <c r="J325" s="598"/>
      <c r="K325" s="598"/>
      <c r="L325" s="634">
        <f>IF(A306&lt;=$F$3,C325+F325-I325,0)</f>
        <v>0</v>
      </c>
      <c r="M325" s="598">
        <f>IF(A306&lt;=$F$3,D325+G325-J325,0)</f>
        <v>0</v>
      </c>
      <c r="N325" s="598">
        <f>IF(A306&lt;=$F$3,E325+H325-K325,0)</f>
        <v>0</v>
      </c>
      <c r="O325" s="635">
        <f>IF(A306&lt;=$F$3,F325*Q325+G325*R325+H325*S325,0)</f>
        <v>0</v>
      </c>
      <c r="P325" s="636">
        <f>IF(A306&lt;=$F$3,I325*Q325+J325*R325+K325*S325,0)</f>
        <v>0</v>
      </c>
      <c r="Q325" s="637">
        <f t="shared" si="120"/>
        <v>52550.000000000044</v>
      </c>
      <c r="R325" s="638">
        <f t="shared" si="120"/>
        <v>81020.160000000062</v>
      </c>
      <c r="S325" s="639">
        <f t="shared" si="120"/>
        <v>84960.160000000062</v>
      </c>
      <c r="T325" s="637">
        <f t="shared" si="117"/>
        <v>0</v>
      </c>
      <c r="U325" s="640" t="e">
        <f>$AH$6*(1-AE$28)*((1+HLOOKUP($A$306,FC_Premissas!$D$5:$W$16,14,FALSE)^0.0833-1))*L325*12</f>
        <v>#REF!</v>
      </c>
      <c r="V325" s="638">
        <f t="shared" si="118"/>
        <v>0</v>
      </c>
      <c r="W325" s="669" t="e">
        <f>$AP$6*(1-AM$28)*((1+HLOOKUP($A$306,FC_Premissas!$D$5:$W$16,14,FALSE))^0.0833-1)*M325*12</f>
        <v>#REF!</v>
      </c>
      <c r="X325" s="637">
        <f t="shared" si="119"/>
        <v>0</v>
      </c>
      <c r="Y325" s="640" t="e">
        <f>$AX$6*(1-AU$28)*((1+HLOOKUP($A$306,FC_Premissas!$D$5:$W$16,14,FALSE))^0.0833-1)*N325*12</f>
        <v>#REF!</v>
      </c>
      <c r="Z325" s="638">
        <f t="shared" si="116"/>
        <v>0</v>
      </c>
      <c r="AA325" s="640" t="e">
        <f t="shared" si="116"/>
        <v>#REF!</v>
      </c>
      <c r="AB325" s="641"/>
    </row>
    <row r="326" spans="1:28" x14ac:dyDescent="0.2">
      <c r="A326" s="984"/>
      <c r="B326" s="633">
        <v>18</v>
      </c>
      <c r="C326" s="634">
        <f>IF(A306&lt;=$F$3,L300,0)</f>
        <v>0</v>
      </c>
      <c r="D326" s="598">
        <f>IF(A306&lt;=$F$3,M300,0)</f>
        <v>0</v>
      </c>
      <c r="E326" s="650">
        <f>IF(A306&lt;=$F$3,N300,0)</f>
        <v>0</v>
      </c>
      <c r="F326" s="634"/>
      <c r="G326" s="598"/>
      <c r="H326" s="598"/>
      <c r="I326" s="634"/>
      <c r="J326" s="598"/>
      <c r="K326" s="598"/>
      <c r="L326" s="634">
        <f>IF(A306&lt;=$F$3,C326+F326-I326,0)</f>
        <v>0</v>
      </c>
      <c r="M326" s="598">
        <f>IF(A306&lt;=$F$3,D326+G326-J326,0)</f>
        <v>0</v>
      </c>
      <c r="N326" s="598">
        <f>IF(A306&lt;=$F$3,E326+H326-K326,0)</f>
        <v>0</v>
      </c>
      <c r="O326" s="635">
        <f>IF(A306&lt;=$F$3,F326*Q326+G326*R326+H326*S326,0)</f>
        <v>0</v>
      </c>
      <c r="P326" s="636">
        <f>IF(A306&lt;=$F$3,I326*Q326+J326*R326+K326*S326,0)</f>
        <v>0</v>
      </c>
      <c r="Q326" s="637">
        <f t="shared" si="120"/>
        <v>52550.000000000044</v>
      </c>
      <c r="R326" s="638">
        <f t="shared" si="120"/>
        <v>81020.160000000062</v>
      </c>
      <c r="S326" s="639">
        <f t="shared" si="120"/>
        <v>84960.160000000062</v>
      </c>
      <c r="T326" s="637">
        <f t="shared" si="117"/>
        <v>0</v>
      </c>
      <c r="U326" s="640" t="e">
        <f>$AH$6*(1-AE$29)*((1+HLOOKUP($A$306,FC_Premissas!$D$5:$W$16,14,FALSE)^0.0833-1))*L326*12</f>
        <v>#REF!</v>
      </c>
      <c r="V326" s="638">
        <f t="shared" si="118"/>
        <v>0</v>
      </c>
      <c r="W326" s="669" t="e">
        <f>$AP$6*(1-AM$29)*((1+HLOOKUP($A$306,FC_Premissas!$D$5:$W$16,14,FALSE))^0.0833-1)*M326*12</f>
        <v>#REF!</v>
      </c>
      <c r="X326" s="637">
        <f t="shared" si="119"/>
        <v>0</v>
      </c>
      <c r="Y326" s="640" t="e">
        <f>$AX$6*(1-AU$29)*((1+HLOOKUP($A$306,FC_Premissas!$D$5:$W$16,14,FALSE))^0.0833-1)*N326*12</f>
        <v>#REF!</v>
      </c>
      <c r="Z326" s="638">
        <f t="shared" si="116"/>
        <v>0</v>
      </c>
      <c r="AA326" s="640" t="e">
        <f t="shared" si="116"/>
        <v>#REF!</v>
      </c>
      <c r="AB326" s="641"/>
    </row>
    <row r="327" spans="1:28" x14ac:dyDescent="0.2">
      <c r="A327" s="984"/>
      <c r="B327" s="633">
        <v>19</v>
      </c>
      <c r="C327" s="634">
        <f>IF(A306&lt;=$F$3,L301,0)</f>
        <v>0</v>
      </c>
      <c r="D327" s="598">
        <f>IF(A306&lt;=$F$3,M301,0)</f>
        <v>0</v>
      </c>
      <c r="E327" s="650">
        <f>IF(A306&lt;=$F$3,N301,0)</f>
        <v>0</v>
      </c>
      <c r="F327" s="634"/>
      <c r="G327" s="598"/>
      <c r="H327" s="598"/>
      <c r="I327" s="634"/>
      <c r="J327" s="598"/>
      <c r="K327" s="598"/>
      <c r="L327" s="634">
        <f>IF(A306&lt;=$F$3,C327+F327-I327,0)</f>
        <v>0</v>
      </c>
      <c r="M327" s="598">
        <f>IF(A306&lt;=$F$3,D327+G327-J327,0)</f>
        <v>0</v>
      </c>
      <c r="N327" s="598">
        <f>IF(A306&lt;=$F$3,E327+H327-K327,0)</f>
        <v>0</v>
      </c>
      <c r="O327" s="635">
        <f>IF(A306&lt;=$F$3,F327*Q327+G327*R327+H327*S327,0)</f>
        <v>0</v>
      </c>
      <c r="P327" s="636">
        <f>IF(A306&lt;=$F$3,I327*Q327+J327*R327+K327*S327,0)</f>
        <v>0</v>
      </c>
      <c r="Q327" s="637">
        <f t="shared" si="120"/>
        <v>52550.000000000044</v>
      </c>
      <c r="R327" s="638">
        <f t="shared" si="120"/>
        <v>81020.160000000062</v>
      </c>
      <c r="S327" s="639">
        <f t="shared" si="120"/>
        <v>84960.160000000062</v>
      </c>
      <c r="T327" s="637">
        <f t="shared" si="117"/>
        <v>0</v>
      </c>
      <c r="U327" s="640" t="e">
        <f>$AH$6*(1-AE$30)*((1+HLOOKUP($A$306,FC_Premissas!$D$5:$W$16,14,FALSE)^0.0833-1))*L327*12</f>
        <v>#REF!</v>
      </c>
      <c r="V327" s="638">
        <f t="shared" si="118"/>
        <v>0</v>
      </c>
      <c r="W327" s="669" t="e">
        <f>$AP$6*(1-AM$30)*((1+HLOOKUP($A$306,FC_Premissas!$D$5:$W$16,14,FALSE))^0.0833-1)*M327*12</f>
        <v>#REF!</v>
      </c>
      <c r="X327" s="637">
        <f t="shared" si="119"/>
        <v>0</v>
      </c>
      <c r="Y327" s="640" t="e">
        <f>$AX$6*(1-AU$30)*((1+HLOOKUP($A$306,FC_Premissas!$D$5:$W$16,14,FALSE))^0.0833-1)*N327*12</f>
        <v>#REF!</v>
      </c>
      <c r="Z327" s="638">
        <f t="shared" si="116"/>
        <v>0</v>
      </c>
      <c r="AA327" s="640" t="e">
        <f t="shared" si="116"/>
        <v>#REF!</v>
      </c>
      <c r="AB327" s="641"/>
    </row>
    <row r="328" spans="1:28" x14ac:dyDescent="0.2">
      <c r="A328" s="984"/>
      <c r="B328" s="633">
        <v>20</v>
      </c>
      <c r="C328" s="616">
        <f>IF(A306&lt;=$F$3,L302,0)</f>
        <v>0</v>
      </c>
      <c r="D328" s="617">
        <f>IF(A306&lt;=$F$3,M302,0)</f>
        <v>0</v>
      </c>
      <c r="E328" s="650">
        <f>IF(A306&lt;=$F$3,N302,0)</f>
        <v>0</v>
      </c>
      <c r="F328" s="616"/>
      <c r="G328" s="617"/>
      <c r="H328" s="598"/>
      <c r="I328" s="616"/>
      <c r="J328" s="617"/>
      <c r="K328" s="598"/>
      <c r="L328" s="616">
        <f>IF(A306&lt;=$F$3,C328+F328-I328,0)</f>
        <v>0</v>
      </c>
      <c r="M328" s="617">
        <f>IF(A306&lt;=$F$3,D328+G328-J328,0)</f>
        <v>0</v>
      </c>
      <c r="N328" s="598">
        <f>IF(A306&lt;=$F$3,E328+H328-K328,0)</f>
        <v>0</v>
      </c>
      <c r="O328" s="635">
        <f>IF(A306&lt;=$F$3,F328*Q328+G328*R328+H328*S328,0)</f>
        <v>0</v>
      </c>
      <c r="P328" s="636">
        <f>IF(A306&lt;=$F$3,I328*Q328+J328*R328+K328*S328,0)</f>
        <v>0</v>
      </c>
      <c r="Q328" s="651">
        <f t="shared" si="120"/>
        <v>52550.000000000044</v>
      </c>
      <c r="R328" s="652">
        <f t="shared" si="120"/>
        <v>81020.160000000062</v>
      </c>
      <c r="S328" s="653">
        <f t="shared" si="120"/>
        <v>84960.160000000062</v>
      </c>
      <c r="T328" s="651">
        <f t="shared" si="117"/>
        <v>0</v>
      </c>
      <c r="U328" s="654" t="e">
        <f>$AH$6*(1-AE$31)*((1+HLOOKUP($A$306,FC_Premissas!$D$5:$W$16,14,FALSE)^0.0833-1))*L328*12</f>
        <v>#REF!</v>
      </c>
      <c r="V328" s="652">
        <f t="shared" si="118"/>
        <v>0</v>
      </c>
      <c r="W328" s="678" t="e">
        <f>$AP$6*(1-AM$31)*((1+HLOOKUP($A$306,FC_Premissas!$D$5:$W$16,14,FALSE))^0.0833-1)*M328*12</f>
        <v>#REF!</v>
      </c>
      <c r="X328" s="651">
        <f t="shared" si="119"/>
        <v>0</v>
      </c>
      <c r="Y328" s="654" t="e">
        <f>$AX$6*(1-AU$31)*((1+HLOOKUP($A$306,FC_Premissas!$D$5:$W$16,14,FALSE))^0.0833-1)*N328*12</f>
        <v>#REF!</v>
      </c>
      <c r="Z328" s="652">
        <f t="shared" si="116"/>
        <v>0</v>
      </c>
      <c r="AA328" s="654" t="e">
        <f t="shared" si="116"/>
        <v>#REF!</v>
      </c>
      <c r="AB328" s="641"/>
    </row>
    <row r="329" spans="1:28" x14ac:dyDescent="0.2">
      <c r="A329" s="984"/>
      <c r="B329" s="655" t="s">
        <v>1228</v>
      </c>
      <c r="C329" s="656">
        <f t="shared" ref="C329:P329" si="121">SUM(C308:C328)</f>
        <v>0</v>
      </c>
      <c r="D329" s="657">
        <f t="shared" si="121"/>
        <v>0</v>
      </c>
      <c r="E329" s="658">
        <f t="shared" si="121"/>
        <v>11</v>
      </c>
      <c r="F329" s="656">
        <f t="shared" si="121"/>
        <v>0</v>
      </c>
      <c r="G329" s="657">
        <f t="shared" si="121"/>
        <v>0</v>
      </c>
      <c r="H329" s="658">
        <f t="shared" si="121"/>
        <v>1</v>
      </c>
      <c r="I329" s="656">
        <f t="shared" si="121"/>
        <v>0</v>
      </c>
      <c r="J329" s="657">
        <f t="shared" si="121"/>
        <v>0</v>
      </c>
      <c r="K329" s="658">
        <f t="shared" si="121"/>
        <v>1</v>
      </c>
      <c r="L329" s="656">
        <f t="shared" si="121"/>
        <v>0</v>
      </c>
      <c r="M329" s="657">
        <f t="shared" si="121"/>
        <v>0</v>
      </c>
      <c r="N329" s="657">
        <f t="shared" si="121"/>
        <v>11</v>
      </c>
      <c r="O329" s="659">
        <f t="shared" si="121"/>
        <v>264480.11636363639</v>
      </c>
      <c r="P329" s="660">
        <f t="shared" si="121"/>
        <v>84960.160000000062</v>
      </c>
      <c r="Q329" s="638"/>
      <c r="R329" s="638"/>
      <c r="S329" s="638"/>
      <c r="T329" s="661">
        <f t="shared" ref="T329:AA329" si="122">SUM(T308:T328)</f>
        <v>0</v>
      </c>
      <c r="U329" s="662" t="e">
        <f t="shared" si="122"/>
        <v>#REF!</v>
      </c>
      <c r="V329" s="663">
        <f t="shared" si="122"/>
        <v>0</v>
      </c>
      <c r="W329" s="662" t="e">
        <f t="shared" si="122"/>
        <v>#REF!</v>
      </c>
      <c r="X329" s="663">
        <f t="shared" si="122"/>
        <v>239359.9418181818</v>
      </c>
      <c r="Y329" s="662" t="e">
        <f t="shared" si="122"/>
        <v>#REF!</v>
      </c>
      <c r="Z329" s="663">
        <f t="shared" si="122"/>
        <v>239359.9418181818</v>
      </c>
      <c r="AA329" s="664" t="e">
        <f t="shared" si="122"/>
        <v>#REF!</v>
      </c>
      <c r="AB329" s="641"/>
    </row>
    <row r="330" spans="1:28" x14ac:dyDescent="0.2">
      <c r="A330" s="985"/>
      <c r="B330" s="977" t="s">
        <v>1229</v>
      </c>
      <c r="C330" s="977"/>
      <c r="D330" s="977"/>
      <c r="E330" s="666">
        <f>(L330*L329+M330*M329+N330*N329)/(L329+M329+N329)</f>
        <v>8</v>
      </c>
      <c r="F330" s="665" t="s">
        <v>140</v>
      </c>
      <c r="G330" s="665"/>
      <c r="H330" s="665"/>
      <c r="I330" s="665"/>
      <c r="J330" s="665"/>
      <c r="K330" s="665"/>
      <c r="L330" s="887">
        <f>IF(L329=0,0,(SUMPRODUCT(L308:L328,$B308:$B328)/L329))</f>
        <v>0</v>
      </c>
      <c r="M330" s="887">
        <f>IF(M329=0,0,(SUMPRODUCT(M308:M328,$B308:$B328)/M329))</f>
        <v>0</v>
      </c>
      <c r="N330" s="887">
        <f>IF(N329=0,0,ROUND(SUMPRODUCT(N308:N328,$B308:$B328)/N329,0))</f>
        <v>8</v>
      </c>
      <c r="O330" s="667"/>
      <c r="P330" s="668"/>
      <c r="Q330" s="638"/>
      <c r="R330" s="638"/>
      <c r="S330" s="638"/>
      <c r="T330" s="638"/>
      <c r="U330" s="669"/>
      <c r="V330" s="638"/>
      <c r="W330" s="669"/>
      <c r="X330" s="638"/>
      <c r="Y330" s="669"/>
      <c r="Z330" s="638"/>
      <c r="AA330" s="669"/>
    </row>
    <row r="331" spans="1:28" ht="12.75" customHeight="1" x14ac:dyDescent="0.2">
      <c r="A331" s="983">
        <f>A306+1</f>
        <v>14</v>
      </c>
      <c r="B331" s="986" t="s">
        <v>1077</v>
      </c>
      <c r="C331" s="988" t="s">
        <v>1202</v>
      </c>
      <c r="D331" s="989"/>
      <c r="E331" s="990"/>
      <c r="F331" s="991" t="s">
        <v>1203</v>
      </c>
      <c r="G331" s="992"/>
      <c r="H331" s="993"/>
      <c r="I331" s="991" t="s">
        <v>1204</v>
      </c>
      <c r="J331" s="992"/>
      <c r="K331" s="993"/>
      <c r="L331" s="991" t="s">
        <v>1205</v>
      </c>
      <c r="M331" s="992"/>
      <c r="N331" s="992"/>
      <c r="O331" s="978" t="s">
        <v>1206</v>
      </c>
      <c r="P331" s="979"/>
      <c r="Q331" s="980" t="s">
        <v>1207</v>
      </c>
      <c r="R331" s="981"/>
      <c r="S331" s="982"/>
      <c r="T331" s="607" t="s">
        <v>1208</v>
      </c>
      <c r="U331" s="609" t="s">
        <v>1209</v>
      </c>
      <c r="V331" s="608" t="s">
        <v>1210</v>
      </c>
      <c r="W331" s="610" t="s">
        <v>1211</v>
      </c>
      <c r="X331" s="607" t="s">
        <v>1210</v>
      </c>
      <c r="Y331" s="609" t="s">
        <v>1211</v>
      </c>
      <c r="Z331" s="607" t="s">
        <v>1210</v>
      </c>
      <c r="AA331" s="609" t="s">
        <v>1211</v>
      </c>
    </row>
    <row r="332" spans="1:28" x14ac:dyDescent="0.2">
      <c r="A332" s="984"/>
      <c r="B332" s="987"/>
      <c r="C332" s="616" t="str">
        <f>$C$7</f>
        <v>Mini</v>
      </c>
      <c r="D332" s="617" t="str">
        <f>$D$7</f>
        <v>Midi</v>
      </c>
      <c r="E332" s="617" t="str">
        <f>$E$7</f>
        <v>Básico</v>
      </c>
      <c r="F332" s="616" t="str">
        <f>$C$7</f>
        <v>Mini</v>
      </c>
      <c r="G332" s="617" t="str">
        <f>$D$7</f>
        <v>Midi</v>
      </c>
      <c r="H332" s="617" t="str">
        <f>$E$7</f>
        <v>Básico</v>
      </c>
      <c r="I332" s="616" t="str">
        <f>$C$7</f>
        <v>Mini</v>
      </c>
      <c r="J332" s="617" t="str">
        <f>$D$7</f>
        <v>Midi</v>
      </c>
      <c r="K332" s="617" t="str">
        <f>$E$7</f>
        <v>Básico</v>
      </c>
      <c r="L332" s="616" t="str">
        <f>$C$7</f>
        <v>Mini</v>
      </c>
      <c r="M332" s="617" t="str">
        <f>$D$7</f>
        <v>Midi</v>
      </c>
      <c r="N332" s="617" t="str">
        <f>$E$7</f>
        <v>Básico</v>
      </c>
      <c r="O332" s="667" t="s">
        <v>1203</v>
      </c>
      <c r="P332" s="668" t="s">
        <v>1204</v>
      </c>
      <c r="Q332" s="620" t="str">
        <f>C332</f>
        <v>Mini</v>
      </c>
      <c r="R332" s="621" t="str">
        <f>D332</f>
        <v>Midi</v>
      </c>
      <c r="S332" s="622" t="str">
        <f>E332</f>
        <v>Básico</v>
      </c>
      <c r="T332" s="623" t="str">
        <f>C332</f>
        <v>Mini</v>
      </c>
      <c r="U332" s="624" t="str">
        <f>C332</f>
        <v>Mini</v>
      </c>
      <c r="V332" s="625" t="str">
        <f>D332</f>
        <v>Midi</v>
      </c>
      <c r="W332" s="626" t="str">
        <f>D332</f>
        <v>Midi</v>
      </c>
      <c r="X332" s="623" t="str">
        <f>E332</f>
        <v>Básico</v>
      </c>
      <c r="Y332" s="624" t="str">
        <f>E332</f>
        <v>Básico</v>
      </c>
      <c r="Z332" s="627" t="s">
        <v>1218</v>
      </c>
      <c r="AA332" s="628" t="s">
        <v>1218</v>
      </c>
    </row>
    <row r="333" spans="1:28" x14ac:dyDescent="0.2">
      <c r="A333" s="984"/>
      <c r="B333" s="633">
        <v>0</v>
      </c>
      <c r="C333" s="634">
        <v>0</v>
      </c>
      <c r="F333" s="965"/>
      <c r="G333" s="966"/>
      <c r="H333" s="675"/>
      <c r="I333" s="598"/>
      <c r="J333" s="598"/>
      <c r="K333" s="676"/>
      <c r="L333" s="634">
        <f>IF(A331&lt;=$F$3,C333+F333-I333,0)</f>
        <v>0</v>
      </c>
      <c r="M333" s="598">
        <f>IF(A331&lt;=$F$3,D333+G333-J333,0)</f>
        <v>0</v>
      </c>
      <c r="N333" s="598">
        <f>IF(A331&lt;=$F$3,E333+H333-K333,0)</f>
        <v>0</v>
      </c>
      <c r="O333" s="635">
        <f>IF(A331&lt;=$F$3,F333*Q333+G333*R333+H333*S333,0)</f>
        <v>0</v>
      </c>
      <c r="P333" s="636">
        <f>IF(A331&lt;=$F$3,I333*Q333+J333*R333+K333*S333,0)</f>
        <v>0</v>
      </c>
      <c r="Q333" s="637">
        <f t="shared" ref="Q333:S348" si="123">Q308</f>
        <v>525500</v>
      </c>
      <c r="R333" s="638">
        <f t="shared" si="123"/>
        <v>703800</v>
      </c>
      <c r="S333" s="639">
        <f t="shared" si="123"/>
        <v>743200</v>
      </c>
      <c r="T333" s="637">
        <f>L333*$AH$6*AD$12</f>
        <v>0</v>
      </c>
      <c r="U333" s="640" t="e">
        <f>$AH$6*(1-AE$11)*((1+HLOOKUP($A$331,FC_Premissas!$D$5:$W$16,14,FALSE)^0.0833-1))*L333*12</f>
        <v>#REF!</v>
      </c>
      <c r="V333" s="638">
        <f>M333*$AP$6*AL$12</f>
        <v>0</v>
      </c>
      <c r="W333" s="669" t="e">
        <f>$AP$6*(1-AM$11)*((1+HLOOKUP($A$331,FC_Premissas!$D$5:$W$16,14,FALSE)^0.0833-1))*M333*12</f>
        <v>#REF!</v>
      </c>
      <c r="X333" s="637">
        <f>N333*$AX$6*AT$12</f>
        <v>0</v>
      </c>
      <c r="Y333" s="640" t="e">
        <f>$AX$6*(1-AU$11)*((1+HLOOKUP($A$331,FC_Premissas!$D$5:$W$16,14,FALSE)^0.0833-1))*N333*12</f>
        <v>#REF!</v>
      </c>
      <c r="Z333" s="638">
        <f t="shared" ref="Z333:AA353" si="124">T333+V333+X333</f>
        <v>0</v>
      </c>
      <c r="AA333" s="669" t="e">
        <f t="shared" si="124"/>
        <v>#REF!</v>
      </c>
      <c r="AB333" s="641"/>
    </row>
    <row r="334" spans="1:28" x14ac:dyDescent="0.2">
      <c r="A334" s="984"/>
      <c r="B334" s="633">
        <v>1</v>
      </c>
      <c r="C334" s="634">
        <f>IF(A331&lt;=$F$3,L308,0)</f>
        <v>0</v>
      </c>
      <c r="D334" s="598">
        <f>IF(A331&lt;=$F$3,M308,0)</f>
        <v>0</v>
      </c>
      <c r="E334" s="598">
        <f>IF(A331&lt;=$F$3,N308,0)</f>
        <v>0</v>
      </c>
      <c r="F334" s="634"/>
      <c r="G334" s="598"/>
      <c r="H334" s="677"/>
      <c r="I334" s="598"/>
      <c r="J334" s="598"/>
      <c r="K334" s="676"/>
      <c r="L334" s="634">
        <f>IF(A331&lt;=$F$3,C334+F334-I334,0)</f>
        <v>0</v>
      </c>
      <c r="M334" s="598">
        <f>IF(A331&lt;=$F$3,D334+G334-J334,0)</f>
        <v>0</v>
      </c>
      <c r="N334" s="598">
        <f>IF(A331&lt;=$F$3,E334+H334-K334,0)</f>
        <v>0</v>
      </c>
      <c r="O334" s="635">
        <f>IF(A331&lt;=$F$3,F334*Q334+G334*R334+H334*S334,0)</f>
        <v>0</v>
      </c>
      <c r="P334" s="636">
        <f>IF(A331&lt;=$F$3,I334*Q334+J334*R334+K334*S334,0)</f>
        <v>0</v>
      </c>
      <c r="Q334" s="637">
        <f t="shared" si="123"/>
        <v>439509.09090909094</v>
      </c>
      <c r="R334" s="638">
        <f t="shared" si="123"/>
        <v>590567.30181818188</v>
      </c>
      <c r="S334" s="639">
        <f t="shared" si="123"/>
        <v>623520.02909090917</v>
      </c>
      <c r="T334" s="637">
        <f>L334*$AH$6*AD$13</f>
        <v>0</v>
      </c>
      <c r="U334" s="640" t="e">
        <f>$AH$6*(1-AE$12)*((1+HLOOKUP($A$331,FC_Premissas!$D$5:$W$16,14,FALSE)^0.0833-1))*L334*12</f>
        <v>#REF!</v>
      </c>
      <c r="V334" s="638">
        <f>M334*$AP$6*AL$13</f>
        <v>0</v>
      </c>
      <c r="W334" s="669" t="e">
        <f>$AP$6*(1-AM$12)*((1+HLOOKUP($A$331,FC_Premissas!$D$5:$W$16,14,FALSE))^0.0833-1)*M334*12</f>
        <v>#REF!</v>
      </c>
      <c r="X334" s="637">
        <f>N334*$AX$6*AT$13</f>
        <v>0</v>
      </c>
      <c r="Y334" s="640" t="e">
        <f>$AX$6*(1-AU$12)*((1+HLOOKUP($A$331,FC_Premissas!$D$5:$W$16,14,FALSE))^0.0833-1)*N334*12</f>
        <v>#REF!</v>
      </c>
      <c r="Z334" s="638">
        <f t="shared" si="124"/>
        <v>0</v>
      </c>
      <c r="AA334" s="669" t="e">
        <f t="shared" si="124"/>
        <v>#REF!</v>
      </c>
      <c r="AB334" s="641"/>
    </row>
    <row r="335" spans="1:28" x14ac:dyDescent="0.2">
      <c r="A335" s="984"/>
      <c r="B335" s="633">
        <v>2</v>
      </c>
      <c r="C335" s="634">
        <f>IF(A331&lt;=$F$3,L309,0)</f>
        <v>0</v>
      </c>
      <c r="D335" s="598">
        <f>IF(A331&lt;=$F$3,M309,0)</f>
        <v>0</v>
      </c>
      <c r="E335" s="598">
        <f>IF(A331&lt;=$F$3,N309,0)</f>
        <v>0</v>
      </c>
      <c r="F335" s="634"/>
      <c r="G335" s="598"/>
      <c r="H335" s="677"/>
      <c r="I335" s="598"/>
      <c r="J335" s="598"/>
      <c r="K335" s="676"/>
      <c r="L335" s="634">
        <f>IF(A331&lt;=$F$3,C335+F335-I335,0)</f>
        <v>0</v>
      </c>
      <c r="M335" s="598">
        <f>IF(A331&lt;=$F$3,D335+G335-J335,0)</f>
        <v>0</v>
      </c>
      <c r="N335" s="598">
        <f>IF(A331&lt;=$F$3,E335+H335-K335,0)</f>
        <v>0</v>
      </c>
      <c r="O335" s="635">
        <f>IF(A331&lt;=$F$3,F335*Q335+G335*R335+H335*S335,0)</f>
        <v>0</v>
      </c>
      <c r="P335" s="636">
        <f>IF(A331&lt;=$F$3,I335*Q335+J335*R335+K335*S335,0)</f>
        <v>0</v>
      </c>
      <c r="Q335" s="637">
        <f t="shared" si="123"/>
        <v>362117.27272727271</v>
      </c>
      <c r="R335" s="638">
        <f t="shared" si="123"/>
        <v>488657.87345454545</v>
      </c>
      <c r="S335" s="639">
        <f t="shared" si="123"/>
        <v>515808.05527272727</v>
      </c>
      <c r="T335" s="637">
        <f>L335*$AH$6*AD$14</f>
        <v>0</v>
      </c>
      <c r="U335" s="640" t="e">
        <f>$AH$6*(1-AE$13)*((1+HLOOKUP($A$331,FC_Premissas!$D$5:$W$16,14,FALSE)^0.0833-1))*L335*12</f>
        <v>#REF!</v>
      </c>
      <c r="V335" s="638">
        <f>M335*$AP$6*AL$14</f>
        <v>0</v>
      </c>
      <c r="W335" s="669" t="e">
        <f>$AP$6*(1-AM$13)*((1+HLOOKUP($A$331,FC_Premissas!$D$5:$W$16,14,FALSE))^0.0833-1)*M335*12</f>
        <v>#REF!</v>
      </c>
      <c r="X335" s="637">
        <f>N335*$AX$6*AT$14</f>
        <v>0</v>
      </c>
      <c r="Y335" s="640" t="e">
        <f>$AX$6*(1-AU$13)*((1+HLOOKUP($A$331,FC_Premissas!$D$5:$W$16,14,FALSE))^0.0833-1)*N335*12</f>
        <v>#REF!</v>
      </c>
      <c r="Z335" s="638">
        <f t="shared" si="124"/>
        <v>0</v>
      </c>
      <c r="AA335" s="669" t="e">
        <f t="shared" si="124"/>
        <v>#REF!</v>
      </c>
      <c r="AB335" s="641"/>
    </row>
    <row r="336" spans="1:28" x14ac:dyDescent="0.2">
      <c r="A336" s="984"/>
      <c r="B336" s="633">
        <v>3</v>
      </c>
      <c r="C336" s="634">
        <f>IF(A331&lt;=$F$3,L310,0)</f>
        <v>0</v>
      </c>
      <c r="D336" s="598">
        <f>IF(A331&lt;=$F$3,M310,0)</f>
        <v>0</v>
      </c>
      <c r="E336" s="598">
        <f>IF(A331&lt;=$F$3,N310,0)</f>
        <v>0</v>
      </c>
      <c r="F336" s="634"/>
      <c r="G336" s="598"/>
      <c r="H336" s="677"/>
      <c r="I336" s="598"/>
      <c r="J336" s="598"/>
      <c r="K336" s="676"/>
      <c r="L336" s="634">
        <f>IF(A331&lt;=$F$3,C336+F336-I336,0)</f>
        <v>0</v>
      </c>
      <c r="M336" s="598">
        <f>IF(A331&lt;=$F$3,D336+G336-J336,0)</f>
        <v>0</v>
      </c>
      <c r="N336" s="598">
        <f>IF(A331&lt;=$F$3,E336+H336-K336,0)</f>
        <v>0</v>
      </c>
      <c r="O336" s="635">
        <f>IF(A331&lt;=$F$3,F336*Q336+G336*R336+H336*S336,0)</f>
        <v>0</v>
      </c>
      <c r="P336" s="636">
        <f>IF(A331&lt;=$F$3,I336*Q336+J336*R336+K336*S336,0)</f>
        <v>0</v>
      </c>
      <c r="Q336" s="637">
        <f t="shared" si="123"/>
        <v>293324.54545454541</v>
      </c>
      <c r="R336" s="638">
        <f t="shared" si="123"/>
        <v>398071.71490909089</v>
      </c>
      <c r="S336" s="639">
        <f t="shared" si="123"/>
        <v>420064.07854545448</v>
      </c>
      <c r="T336" s="637">
        <f>L336*$AH$6*AD$15</f>
        <v>0</v>
      </c>
      <c r="U336" s="640" t="e">
        <f>$AH$6*(1-AE$14)*((1+HLOOKUP($A$331,FC_Premissas!$D$5:$W$16,14,FALSE)^0.0833-1))*L336*12</f>
        <v>#REF!</v>
      </c>
      <c r="V336" s="638">
        <f>M336*$AP$6*AL$15</f>
        <v>0</v>
      </c>
      <c r="W336" s="669" t="e">
        <f>$AP$6*(1-AM$14)*((1+HLOOKUP($A$331,FC_Premissas!$D$5:$W$16,14,FALSE))^0.0833-1)*M336*12</f>
        <v>#REF!</v>
      </c>
      <c r="X336" s="637">
        <f>N336*$AX$6*AT$15</f>
        <v>0</v>
      </c>
      <c r="Y336" s="640" t="e">
        <f>$AX$6*(1-AU$14)*((1+HLOOKUP($A$331,FC_Premissas!$D$5:$W$16,14,FALSE))^0.0833-1)*N336*12</f>
        <v>#REF!</v>
      </c>
      <c r="Z336" s="638">
        <f t="shared" si="124"/>
        <v>0</v>
      </c>
      <c r="AA336" s="669" t="e">
        <f t="shared" si="124"/>
        <v>#REF!</v>
      </c>
      <c r="AB336" s="641"/>
    </row>
    <row r="337" spans="1:28" x14ac:dyDescent="0.2">
      <c r="A337" s="984"/>
      <c r="B337" s="633">
        <v>4</v>
      </c>
      <c r="C337" s="634">
        <f>IF(A331&lt;=$F$3,L311,0)</f>
        <v>0</v>
      </c>
      <c r="D337" s="598">
        <f>IF(A331&lt;=$F$3,M311,0)</f>
        <v>0</v>
      </c>
      <c r="E337" s="598">
        <f>IF(A331&lt;=$F$3,N311,0)</f>
        <v>0</v>
      </c>
      <c r="F337" s="634"/>
      <c r="G337" s="598"/>
      <c r="H337" s="677"/>
      <c r="I337" s="598"/>
      <c r="J337" s="598"/>
      <c r="K337" s="676"/>
      <c r="L337" s="634">
        <f>IF(A331&lt;=$F$3,C337+F337-I337,0)</f>
        <v>0</v>
      </c>
      <c r="M337" s="598">
        <f>IF(A331&lt;=$F$3,D337+G337-J337,0)</f>
        <v>0</v>
      </c>
      <c r="N337" s="598">
        <f>IF(A331&lt;=$F$3,E337+H337-K337,0)</f>
        <v>0</v>
      </c>
      <c r="O337" s="635">
        <f>IF(A331&lt;=$F$3,F337*Q337+G337*R337+H337*S337,0)</f>
        <v>0</v>
      </c>
      <c r="P337" s="636">
        <f>IF(A331&lt;=$F$3,I337*Q337+J337*R337+K337*S337,0)</f>
        <v>0</v>
      </c>
      <c r="Q337" s="637">
        <f t="shared" si="123"/>
        <v>233130.90909090909</v>
      </c>
      <c r="R337" s="638">
        <f t="shared" si="123"/>
        <v>318808.82618181815</v>
      </c>
      <c r="S337" s="639">
        <f t="shared" si="123"/>
        <v>336288.09890909091</v>
      </c>
      <c r="T337" s="637">
        <f>L337*$AH$6*AD$16</f>
        <v>0</v>
      </c>
      <c r="U337" s="640" t="e">
        <f>$AH$6*(1-AE$15)*((1+HLOOKUP($A$331,FC_Premissas!$D$5:$W$16,14,FALSE)^0.0833-1))*L337*12</f>
        <v>#REF!</v>
      </c>
      <c r="V337" s="638">
        <f>M337*$AP$6*AL$16</f>
        <v>0</v>
      </c>
      <c r="W337" s="669" t="e">
        <f>$AP$6*(1-AM$15)*((1+HLOOKUP($A$331,FC_Premissas!$D$5:$W$16,14,FALSE))^0.0833-1)*M337*12</f>
        <v>#REF!</v>
      </c>
      <c r="X337" s="637">
        <f>N337*$AX$6*AT$16</f>
        <v>0</v>
      </c>
      <c r="Y337" s="640" t="e">
        <f>$AX$6*(1-AU$15)*((1+HLOOKUP($A$331,FC_Premissas!$D$5:$W$16,14,FALSE))^0.0833-1)*N337*12</f>
        <v>#REF!</v>
      </c>
      <c r="Z337" s="638">
        <f t="shared" si="124"/>
        <v>0</v>
      </c>
      <c r="AA337" s="669" t="e">
        <f t="shared" si="124"/>
        <v>#REF!</v>
      </c>
      <c r="AB337" s="641"/>
    </row>
    <row r="338" spans="1:28" x14ac:dyDescent="0.2">
      <c r="A338" s="984"/>
      <c r="B338" s="633">
        <v>5</v>
      </c>
      <c r="C338" s="634">
        <f>IF(A331&lt;=$F$3,L312,0)</f>
        <v>0</v>
      </c>
      <c r="D338" s="598">
        <f>IF(A331&lt;=$F$3,M312,0)</f>
        <v>0</v>
      </c>
      <c r="E338" s="598">
        <f>IF(A331&lt;=$F$3,N312,0)</f>
        <v>0</v>
      </c>
      <c r="F338" s="634"/>
      <c r="G338" s="598"/>
      <c r="H338" s="677">
        <v>4</v>
      </c>
      <c r="I338" s="598"/>
      <c r="J338" s="598"/>
      <c r="K338" s="676"/>
      <c r="L338" s="634">
        <f>IF(A331&lt;=$F$3,C338+F338-I338,0)</f>
        <v>0</v>
      </c>
      <c r="M338" s="598">
        <f>IF(A331&lt;=$F$3,D338+G338-J338,0)</f>
        <v>0</v>
      </c>
      <c r="N338" s="598">
        <f>IF(A331&lt;=$F$3,E338+H338-K338,0)</f>
        <v>4</v>
      </c>
      <c r="O338" s="635">
        <f>IF(A331&lt;=$F$3,F338*Q338+G338*R338+H338*S338,0)</f>
        <v>1057920.4654545456</v>
      </c>
      <c r="P338" s="636">
        <f>IF(A331&lt;=$F$3,I338*Q338+J338*R338+K338*S338,0)</f>
        <v>0</v>
      </c>
      <c r="Q338" s="637">
        <f t="shared" si="123"/>
        <v>181536.36363636365</v>
      </c>
      <c r="R338" s="638">
        <f t="shared" si="123"/>
        <v>250869.20727272728</v>
      </c>
      <c r="S338" s="639">
        <f t="shared" si="123"/>
        <v>264480.11636363639</v>
      </c>
      <c r="T338" s="637">
        <f>L338*$AH$6*AD$17</f>
        <v>0</v>
      </c>
      <c r="U338" s="640" t="e">
        <f>$AH$6*(1-AE$16)*((1+HLOOKUP($A$331,FC_Premissas!$D$5:$W$16,14,FALSE)^0.0833-1))*L338*12</f>
        <v>#REF!</v>
      </c>
      <c r="V338" s="638">
        <f>M338*$AP$6*AL$17</f>
        <v>0</v>
      </c>
      <c r="W338" s="669" t="e">
        <f>$AP$6*(1-AM$16)*((1+HLOOKUP($A$331,FC_Premissas!$D$5:$W$16,14,FALSE))^0.0833-1)*M338*12</f>
        <v>#REF!</v>
      </c>
      <c r="X338" s="637">
        <f>N338*$AX$6*AT$17</f>
        <v>239359.9418181818</v>
      </c>
      <c r="Y338" s="640" t="e">
        <f>$AX$6*(1-AU$16)*((1+HLOOKUP($A$331,FC_Premissas!$D$5:$W$16,14,FALSE))^0.0833-1)*N338*12</f>
        <v>#REF!</v>
      </c>
      <c r="Z338" s="638">
        <f t="shared" si="124"/>
        <v>239359.9418181818</v>
      </c>
      <c r="AA338" s="669" t="e">
        <f t="shared" si="124"/>
        <v>#REF!</v>
      </c>
      <c r="AB338" s="641"/>
    </row>
    <row r="339" spans="1:28" x14ac:dyDescent="0.2">
      <c r="A339" s="984"/>
      <c r="B339" s="633">
        <v>6</v>
      </c>
      <c r="C339" s="634">
        <f>IF(A331&lt;=$F$3,L313,0)</f>
        <v>0</v>
      </c>
      <c r="D339" s="598">
        <f>IF(A331&lt;=$F$3,M313,0)</f>
        <v>0</v>
      </c>
      <c r="E339" s="598">
        <f>IF(A331&lt;=$F$3,N313,0)</f>
        <v>1</v>
      </c>
      <c r="F339" s="634"/>
      <c r="G339" s="598"/>
      <c r="H339" s="650"/>
      <c r="I339" s="598"/>
      <c r="J339" s="598"/>
      <c r="K339" s="676"/>
      <c r="L339" s="634">
        <f>IF(A331&lt;=$F$3,C339+F339-I339,0)</f>
        <v>0</v>
      </c>
      <c r="M339" s="598">
        <f>IF(A331&lt;=$F$3,D339+G339-J339,0)</f>
        <v>0</v>
      </c>
      <c r="N339" s="598">
        <f>IF(A331&lt;=$F$3,E339+H339-K339,0)</f>
        <v>1</v>
      </c>
      <c r="O339" s="635">
        <f>IF(A331&lt;=$F$3,F339*Q339+G339*R339+H339*S339,0)</f>
        <v>0</v>
      </c>
      <c r="P339" s="636">
        <f>IF(A331&lt;=$F$3,I339*Q339+J339*R339+K339*S339,0)</f>
        <v>0</v>
      </c>
      <c r="Q339" s="637">
        <f t="shared" si="123"/>
        <v>138540.90909090912</v>
      </c>
      <c r="R339" s="638">
        <f t="shared" si="123"/>
        <v>194252.85818181818</v>
      </c>
      <c r="S339" s="639">
        <f t="shared" si="123"/>
        <v>204640.13090909092</v>
      </c>
      <c r="T339" s="637">
        <f>L339*$AH$6*AD$18</f>
        <v>0</v>
      </c>
      <c r="U339" s="640" t="e">
        <f>$AH$6*(1-AE$17)*((1+HLOOKUP($A$331,FC_Premissas!$D$5:$W$16,14,FALSE)^0.0833-1))*L339*12</f>
        <v>#REF!</v>
      </c>
      <c r="V339" s="638">
        <f>M339*$AP$6*AL$18</f>
        <v>0</v>
      </c>
      <c r="W339" s="669" t="e">
        <f>$AP$6*(1-AM$17)*((1+HLOOKUP($A$331,FC_Premissas!$D$5:$W$16,14,FALSE))^0.0833-1)*M339*12</f>
        <v>#REF!</v>
      </c>
      <c r="X339" s="637">
        <f>N339*$AX$6*AT$18</f>
        <v>47871.988363636367</v>
      </c>
      <c r="Y339" s="640" t="e">
        <f>$AX$6*(1-AU$17)*((1+HLOOKUP($A$331,FC_Premissas!$D$5:$W$16,14,FALSE))^0.0833-1)*N339*12</f>
        <v>#REF!</v>
      </c>
      <c r="Z339" s="638">
        <f t="shared" si="124"/>
        <v>47871.988363636367</v>
      </c>
      <c r="AA339" s="669" t="e">
        <f t="shared" si="124"/>
        <v>#REF!</v>
      </c>
      <c r="AB339" s="641"/>
    </row>
    <row r="340" spans="1:28" x14ac:dyDescent="0.2">
      <c r="A340" s="984"/>
      <c r="B340" s="633">
        <v>7</v>
      </c>
      <c r="C340" s="634">
        <f>IF(A331&lt;=$F$3,L314,0)</f>
        <v>0</v>
      </c>
      <c r="D340" s="598">
        <f>IF(A331&lt;=$F$3,M314,0)</f>
        <v>0</v>
      </c>
      <c r="E340" s="598">
        <f>IF(A331&lt;=$F$3,N314,0)</f>
        <v>1</v>
      </c>
      <c r="F340" s="634"/>
      <c r="G340" s="598"/>
      <c r="H340" s="650"/>
      <c r="I340" s="598"/>
      <c r="J340" s="598"/>
      <c r="K340" s="676"/>
      <c r="L340" s="634">
        <f>IF(A331&lt;=$F$3,C340+F340-I340,0)</f>
        <v>0</v>
      </c>
      <c r="M340" s="598">
        <f>IF(A331&lt;=$F$3,D340+G340-J340,0)</f>
        <v>0</v>
      </c>
      <c r="N340" s="598">
        <f>IF(A331&lt;=$F$3,E340+H340-K340,0)</f>
        <v>1</v>
      </c>
      <c r="O340" s="635">
        <f>IF(A331&lt;=$F$3,F340*Q340+G340*R340+H340*S340,0)</f>
        <v>0</v>
      </c>
      <c r="P340" s="636">
        <f>IF(A331&lt;=$F$3,I340*Q340+J340*R340+K340*S340,0)</f>
        <v>0</v>
      </c>
      <c r="Q340" s="637">
        <f t="shared" si="123"/>
        <v>104144.54545454548</v>
      </c>
      <c r="R340" s="638">
        <f t="shared" si="123"/>
        <v>148959.77890909094</v>
      </c>
      <c r="S340" s="639">
        <f t="shared" si="123"/>
        <v>156768.14254545458</v>
      </c>
      <c r="T340" s="637">
        <f>L340*$AH$6*AD$19</f>
        <v>0</v>
      </c>
      <c r="U340" s="640" t="e">
        <f>$AH$6*(1-AE$18)*((1+HLOOKUP($A$331,FC_Premissas!$D$5:$W$16,14,FALSE)^0.0833-1))*L340*12</f>
        <v>#REF!</v>
      </c>
      <c r="V340" s="638">
        <f>M340*$AP$6*AL$19</f>
        <v>0</v>
      </c>
      <c r="W340" s="669" t="e">
        <f>$AP$6*(1-AM$18)*((1+HLOOKUP($A$331,FC_Premissas!$D$5:$W$16,14,FALSE))^0.0833-1)*M340*12</f>
        <v>#REF!</v>
      </c>
      <c r="X340" s="637">
        <f>N340*$AX$6*AT$19</f>
        <v>35903.991272727275</v>
      </c>
      <c r="Y340" s="640" t="e">
        <f>$AX$6*(1-AU$18)*((1+HLOOKUP($A$331,FC_Premissas!$D$5:$W$16,14,FALSE))^0.0833-1)*N340*12</f>
        <v>#REF!</v>
      </c>
      <c r="Z340" s="638">
        <f t="shared" si="124"/>
        <v>35903.991272727275</v>
      </c>
      <c r="AA340" s="669" t="e">
        <f t="shared" si="124"/>
        <v>#REF!</v>
      </c>
      <c r="AB340" s="641"/>
    </row>
    <row r="341" spans="1:28" x14ac:dyDescent="0.2">
      <c r="A341" s="984"/>
      <c r="B341" s="633">
        <v>8</v>
      </c>
      <c r="C341" s="634">
        <f>IF(A331&lt;=$F$3,L315,0)</f>
        <v>0</v>
      </c>
      <c r="D341" s="598">
        <f>IF(A331&lt;=$F$3,M315,0)</f>
        <v>0</v>
      </c>
      <c r="E341" s="598">
        <f>IF(A331&lt;=$F$3,N315,0)</f>
        <v>3</v>
      </c>
      <c r="F341" s="634"/>
      <c r="G341" s="598"/>
      <c r="H341" s="650"/>
      <c r="I341" s="598"/>
      <c r="J341" s="598"/>
      <c r="K341" s="676"/>
      <c r="L341" s="634">
        <f>IF(A331&lt;=$F$3,C341+F341-I341,0)</f>
        <v>0</v>
      </c>
      <c r="M341" s="598">
        <f>IF(A331&lt;=$F$3,D341+G341-J341,0)</f>
        <v>0</v>
      </c>
      <c r="N341" s="598">
        <f>IF(A331&lt;=$F$3,E341+H341-K341,0)</f>
        <v>3</v>
      </c>
      <c r="O341" s="635">
        <f>IF(A331&lt;=$F$3,F341*Q341+G341*R341+H341*S341,0)</f>
        <v>0</v>
      </c>
      <c r="P341" s="636">
        <f>IF(A331&lt;=$F$3,I341*Q341+J341*R341+K341*S341,0)</f>
        <v>0</v>
      </c>
      <c r="Q341" s="637">
        <f t="shared" si="123"/>
        <v>78347.272727272764</v>
      </c>
      <c r="R341" s="638">
        <f t="shared" si="123"/>
        <v>114989.9694545455</v>
      </c>
      <c r="S341" s="639">
        <f t="shared" si="123"/>
        <v>120864.15127272732</v>
      </c>
      <c r="T341" s="637">
        <f>L341*$AH$6*AD$20</f>
        <v>0</v>
      </c>
      <c r="U341" s="640" t="e">
        <f>$AH$6*(1-AE$19)*((1+HLOOKUP($A$331,FC_Premissas!$D$5:$W$16,14,FALSE)^0.0833-1))*L341*12</f>
        <v>#REF!</v>
      </c>
      <c r="V341" s="638">
        <f>M341*$AP$6*AL$20</f>
        <v>0</v>
      </c>
      <c r="W341" s="669" t="e">
        <f>$AP$6*(1-AM$19)*((1+HLOOKUP($A$331,FC_Premissas!$D$5:$W$16,14,FALSE))^0.0833-1)*M341*12</f>
        <v>#REF!</v>
      </c>
      <c r="X341" s="637">
        <f>N341*$AX$6*AT$20</f>
        <v>71807.98254545455</v>
      </c>
      <c r="Y341" s="640" t="e">
        <f>$AX$6*(1-AU$19)*((1+HLOOKUP($A$331,FC_Premissas!$D$5:$W$16,14,FALSE))^0.0833-1)*N341*12</f>
        <v>#REF!</v>
      </c>
      <c r="Z341" s="638">
        <f t="shared" si="124"/>
        <v>71807.98254545455</v>
      </c>
      <c r="AA341" s="669" t="e">
        <f t="shared" si="124"/>
        <v>#REF!</v>
      </c>
      <c r="AB341" s="641"/>
    </row>
    <row r="342" spans="1:28" x14ac:dyDescent="0.2">
      <c r="A342" s="984"/>
      <c r="B342" s="633">
        <v>9</v>
      </c>
      <c r="C342" s="634">
        <f>IF(A331&lt;=$F$3,L316,0)</f>
        <v>0</v>
      </c>
      <c r="D342" s="598">
        <f>IF(A331&lt;=$F$3,M316,0)</f>
        <v>0</v>
      </c>
      <c r="E342" s="598">
        <f>IF(A331&lt;=$F$3,N316,0)</f>
        <v>0</v>
      </c>
      <c r="F342" s="634"/>
      <c r="G342" s="598"/>
      <c r="H342" s="650"/>
      <c r="I342" s="598"/>
      <c r="J342" s="598"/>
      <c r="K342" s="676"/>
      <c r="L342" s="634">
        <f>IF(A331&lt;=$F$3,C342+F342-I342,0)</f>
        <v>0</v>
      </c>
      <c r="M342" s="598">
        <f>IF(A331&lt;=$F$3,D342+G342-J342,0)</f>
        <v>0</v>
      </c>
      <c r="N342" s="598">
        <f>IF(A331&lt;=$F$3,E342+H342-K342,0)</f>
        <v>0</v>
      </c>
      <c r="O342" s="635">
        <f>IF(A331&lt;=$F$3,F342*Q342+G342*R342+H342*S342,0)</f>
        <v>0</v>
      </c>
      <c r="P342" s="636">
        <f>IF(A331&lt;=$F$3,I342*Q342+J342*R342+K342*S342,0)</f>
        <v>0</v>
      </c>
      <c r="Q342" s="637">
        <f t="shared" si="123"/>
        <v>61149.090909090955</v>
      </c>
      <c r="R342" s="638">
        <f t="shared" si="123"/>
        <v>92343.429818181874</v>
      </c>
      <c r="S342" s="639">
        <f t="shared" si="123"/>
        <v>96928.157090909139</v>
      </c>
      <c r="T342" s="637">
        <f>L342*$AH$6*AD$21</f>
        <v>0</v>
      </c>
      <c r="U342" s="640" t="e">
        <f>$AH$6*(1-AE$20)*((1+HLOOKUP($A$331,FC_Premissas!$D$5:$W$16,14,FALSE)^0.0833-1))*L342*12</f>
        <v>#REF!</v>
      </c>
      <c r="V342" s="638">
        <f>M342*$AP$6*AL$21</f>
        <v>0</v>
      </c>
      <c r="W342" s="669" t="e">
        <f>$AP$6*(1-AM$20)*((1+HLOOKUP($A$331,FC_Premissas!$D$5:$W$16,14,FALSE))^0.0833-1)*M342*12</f>
        <v>#REF!</v>
      </c>
      <c r="X342" s="637">
        <f>N342*$AX$6*AT$21</f>
        <v>0</v>
      </c>
      <c r="Y342" s="640" t="e">
        <f>$AX$6*(1-AU$20)*((1+HLOOKUP($A$331,FC_Premissas!$D$5:$W$16,14,FALSE))^0.0833-1)*N342*12</f>
        <v>#REF!</v>
      </c>
      <c r="Z342" s="638">
        <f t="shared" si="124"/>
        <v>0</v>
      </c>
      <c r="AA342" s="669" t="e">
        <f t="shared" si="124"/>
        <v>#REF!</v>
      </c>
      <c r="AB342" s="641"/>
    </row>
    <row r="343" spans="1:28" x14ac:dyDescent="0.2">
      <c r="A343" s="984"/>
      <c r="B343" s="633">
        <v>10</v>
      </c>
      <c r="C343" s="634">
        <f>IF(A331&lt;=$F$3,L317,0)</f>
        <v>0</v>
      </c>
      <c r="D343" s="598">
        <f>IF(A331&lt;=$F$3,M317,0)</f>
        <v>0</v>
      </c>
      <c r="E343" s="598">
        <f>IF(A331&lt;=$F$3,N317,0)</f>
        <v>2</v>
      </c>
      <c r="F343" s="634"/>
      <c r="G343" s="598"/>
      <c r="H343" s="650"/>
      <c r="I343" s="598"/>
      <c r="J343" s="598"/>
      <c r="K343" s="676"/>
      <c r="L343" s="634">
        <f>IF(A331&lt;=$F$3,C343+F343-I343,0)</f>
        <v>0</v>
      </c>
      <c r="M343" s="598">
        <f>IF(A331&lt;=$F$3,D343+G343-J343,0)</f>
        <v>0</v>
      </c>
      <c r="N343" s="598">
        <f>IF(A331&lt;=$F$3,E343+H343-K343,0)</f>
        <v>2</v>
      </c>
      <c r="O343" s="635">
        <f>IF(A331&lt;=$F$3,F343*Q343+G343*R343+H343*S343,0)</f>
        <v>0</v>
      </c>
      <c r="P343" s="636">
        <f>IF(A331&lt;=$F$3,I343*Q343+J343*R343+K343*S343,0)</f>
        <v>0</v>
      </c>
      <c r="Q343" s="637">
        <f t="shared" si="123"/>
        <v>52550.000000000044</v>
      </c>
      <c r="R343" s="638">
        <f t="shared" si="123"/>
        <v>81020.160000000062</v>
      </c>
      <c r="S343" s="639">
        <f t="shared" si="123"/>
        <v>84960.160000000062</v>
      </c>
      <c r="T343" s="637">
        <f>L343*$AH$6*AD$22</f>
        <v>0</v>
      </c>
      <c r="U343" s="640" t="e">
        <f>$AH$6*(1-AE$21)*((1+HLOOKUP($A$331,FC_Premissas!$D$5:$W$16,14,FALSE)^0.0833-1))*L343*12</f>
        <v>#REF!</v>
      </c>
      <c r="V343" s="638">
        <f>M343*$AP$6*AL$22</f>
        <v>0</v>
      </c>
      <c r="W343" s="669" t="e">
        <f>$AP$6*(1-AM$21)*((1+HLOOKUP($A$331,FC_Premissas!$D$5:$W$16,14,FALSE))^0.0833-1)*M343*12</f>
        <v>#REF!</v>
      </c>
      <c r="X343" s="637">
        <f>N343*$AX$6*AT$22</f>
        <v>0</v>
      </c>
      <c r="Y343" s="640" t="e">
        <f>$AX$6*(1-AU$21)*((1+HLOOKUP($A$331,FC_Premissas!$D$5:$W$16,14,FALSE))^0.0833-1)*N343*12</f>
        <v>#REF!</v>
      </c>
      <c r="Z343" s="638">
        <f t="shared" si="124"/>
        <v>0</v>
      </c>
      <c r="AA343" s="669" t="e">
        <f t="shared" si="124"/>
        <v>#REF!</v>
      </c>
      <c r="AB343" s="641"/>
    </row>
    <row r="344" spans="1:28" x14ac:dyDescent="0.2">
      <c r="A344" s="984"/>
      <c r="B344" s="633">
        <v>11</v>
      </c>
      <c r="C344" s="634">
        <f>IF(A331&lt;=$F$3,L318,0)</f>
        <v>0</v>
      </c>
      <c r="D344" s="598">
        <f>IF(A331&lt;=$F$3,M318,0)</f>
        <v>0</v>
      </c>
      <c r="E344" s="598">
        <f>IF(A331&lt;=$F$3,N318,0)</f>
        <v>2</v>
      </c>
      <c r="F344" s="634"/>
      <c r="G344" s="598"/>
      <c r="H344" s="650"/>
      <c r="I344" s="598"/>
      <c r="J344" s="598"/>
      <c r="K344" s="676">
        <v>2</v>
      </c>
      <c r="L344" s="634">
        <f>IF(A331&lt;=$F$3,C344+F344-I344,0)</f>
        <v>0</v>
      </c>
      <c r="M344" s="598">
        <f>IF(A331&lt;=$F$3,D344+G344-J344,0)</f>
        <v>0</v>
      </c>
      <c r="N344" s="598">
        <f>IF(A331&lt;=$F$3,E344+H344-K344,0)</f>
        <v>0</v>
      </c>
      <c r="O344" s="635">
        <f>IF(A331&lt;=$F$3,F344*Q344+G344*R344+H344*S344,0)</f>
        <v>0</v>
      </c>
      <c r="P344" s="636">
        <f>IF(A331&lt;=$F$3,I344*Q344+J344*R344+K344*S344,0)</f>
        <v>169920.32000000012</v>
      </c>
      <c r="Q344" s="637">
        <f t="shared" si="123"/>
        <v>52550.000000000044</v>
      </c>
      <c r="R344" s="638">
        <f t="shared" si="123"/>
        <v>81020.160000000062</v>
      </c>
      <c r="S344" s="639">
        <f t="shared" si="123"/>
        <v>84960.160000000062</v>
      </c>
      <c r="T344" s="637">
        <f>L344*$AH$6*AD$23</f>
        <v>0</v>
      </c>
      <c r="U344" s="640" t="e">
        <f>$AH$6*(1-AE$22)*((1+HLOOKUP($A$331,FC_Premissas!$D$5:$W$16,14,FALSE)^0.0833-1))*L344*12</f>
        <v>#REF!</v>
      </c>
      <c r="V344" s="638">
        <f>M344*$AP$6*AL$23</f>
        <v>0</v>
      </c>
      <c r="W344" s="669" t="e">
        <f>$AP$6*(1-AM$22)*((1+HLOOKUP($A$331,FC_Premissas!$D$5:$W$16,14,FALSE))^0.0833-1)*M344*12</f>
        <v>#REF!</v>
      </c>
      <c r="X344" s="637">
        <f>N344*$AX$6*AT$23</f>
        <v>0</v>
      </c>
      <c r="Y344" s="640" t="e">
        <f>$AX$6*(1-AU$22)*((1+HLOOKUP($A$331,FC_Premissas!$D$5:$W$16,14,FALSE))^0.0833-1)*N344*12</f>
        <v>#REF!</v>
      </c>
      <c r="Z344" s="638">
        <f t="shared" si="124"/>
        <v>0</v>
      </c>
      <c r="AA344" s="669" t="e">
        <f t="shared" si="124"/>
        <v>#REF!</v>
      </c>
      <c r="AB344" s="641"/>
    </row>
    <row r="345" spans="1:28" x14ac:dyDescent="0.2">
      <c r="A345" s="984"/>
      <c r="B345" s="633">
        <v>12</v>
      </c>
      <c r="C345" s="634">
        <f>IF(A331&lt;=$F$3,L319,0)</f>
        <v>0</v>
      </c>
      <c r="D345" s="598">
        <f>IF(A331&lt;=$F$3,M319,0)</f>
        <v>0</v>
      </c>
      <c r="E345" s="598">
        <f>IF(A331&lt;=$F$3,N319,0)</f>
        <v>2</v>
      </c>
      <c r="F345" s="634"/>
      <c r="G345" s="598"/>
      <c r="H345" s="650"/>
      <c r="I345" s="598"/>
      <c r="J345" s="598"/>
      <c r="K345" s="676">
        <v>2</v>
      </c>
      <c r="L345" s="634">
        <f>IF(A331&lt;=$F$3,C345+F345-I345,0)</f>
        <v>0</v>
      </c>
      <c r="M345" s="598">
        <f>IF(A331&lt;=$F$3,D345+G345-J345,0)</f>
        <v>0</v>
      </c>
      <c r="N345" s="598">
        <f>IF(A331&lt;=$F$3,E345+H345-K345,0)</f>
        <v>0</v>
      </c>
      <c r="O345" s="635">
        <f>IF(A331&lt;=$F$3,F345*Q345+G345*R345+H345*S345,0)</f>
        <v>0</v>
      </c>
      <c r="P345" s="636">
        <f>IF(A331&lt;=$F$3,I345*Q345+J345*R345+K345*S345,0)</f>
        <v>169920.32000000012</v>
      </c>
      <c r="Q345" s="637">
        <f t="shared" si="123"/>
        <v>52550.000000000044</v>
      </c>
      <c r="R345" s="638">
        <f t="shared" si="123"/>
        <v>81020.160000000062</v>
      </c>
      <c r="S345" s="639">
        <f t="shared" si="123"/>
        <v>84960.160000000062</v>
      </c>
      <c r="T345" s="637">
        <f>L345*$AH$6*AD$24</f>
        <v>0</v>
      </c>
      <c r="U345" s="640" t="e">
        <f>$AH$6*(1-AE$23)*((1+HLOOKUP($A$331,FC_Premissas!$D$5:$W$16,14,FALSE)^0.0833-1))*L345*12</f>
        <v>#REF!</v>
      </c>
      <c r="V345" s="638">
        <f>M345*$AP$6*AL$24</f>
        <v>0</v>
      </c>
      <c r="W345" s="669" t="e">
        <f>$AP$6*(1-AM$23)*((1+HLOOKUP($A$331,FC_Premissas!$D$5:$W$16,14,FALSE))^0.0833-1)*M345*12</f>
        <v>#REF!</v>
      </c>
      <c r="X345" s="637">
        <f>N345*$AX$6*AT$24</f>
        <v>0</v>
      </c>
      <c r="Y345" s="640" t="e">
        <f>$AX$6*(1-AU$23)*((1+HLOOKUP($A$331,FC_Premissas!$D$5:$W$16,14,FALSE))^0.0833-1)*N345*12</f>
        <v>#REF!</v>
      </c>
      <c r="Z345" s="638">
        <f t="shared" si="124"/>
        <v>0</v>
      </c>
      <c r="AA345" s="669" t="e">
        <f t="shared" si="124"/>
        <v>#REF!</v>
      </c>
      <c r="AB345" s="641"/>
    </row>
    <row r="346" spans="1:28" ht="11.25" customHeight="1" x14ac:dyDescent="0.2">
      <c r="A346" s="984"/>
      <c r="B346" s="633">
        <v>13</v>
      </c>
      <c r="C346" s="634">
        <f>IF(A331&lt;=$F$3,L320,0)</f>
        <v>0</v>
      </c>
      <c r="D346" s="598">
        <f>IF(A331&lt;=$F$3,M320,0)</f>
        <v>0</v>
      </c>
      <c r="E346" s="650">
        <f>IF(A331&lt;=$F$3,N320,0)</f>
        <v>0</v>
      </c>
      <c r="F346" s="634"/>
      <c r="G346" s="598"/>
      <c r="H346" s="598"/>
      <c r="I346" s="634"/>
      <c r="J346" s="598"/>
      <c r="K346" s="676"/>
      <c r="L346" s="634">
        <f>IF(A331&lt;=$F$3,C346+F346-I346,0)</f>
        <v>0</v>
      </c>
      <c r="M346" s="598">
        <f>IF(A331&lt;=$F$3,D346+G346-J346,0)</f>
        <v>0</v>
      </c>
      <c r="N346" s="598">
        <f>IF(A331&lt;=$F$3,E346+H346-K346,0)</f>
        <v>0</v>
      </c>
      <c r="O346" s="635">
        <f>IF(A331&lt;=$F$3,F346*Q346+G346*R346+H346*S346,0)</f>
        <v>0</v>
      </c>
      <c r="P346" s="636">
        <f>IF(A331&lt;=$F$3,I346*Q346+J346*R346+K346*S346,0)</f>
        <v>0</v>
      </c>
      <c r="Q346" s="637">
        <f t="shared" si="123"/>
        <v>52550.000000000044</v>
      </c>
      <c r="R346" s="638">
        <f t="shared" si="123"/>
        <v>81020.160000000062</v>
      </c>
      <c r="S346" s="639">
        <f t="shared" si="123"/>
        <v>84960.160000000062</v>
      </c>
      <c r="T346" s="637">
        <f>L346*$AH$6*AD$25</f>
        <v>0</v>
      </c>
      <c r="U346" s="640" t="e">
        <f>$AH$6*(1-AE$24)*((1+HLOOKUP($A$331,FC_Premissas!$D$5:$W$16,14,FALSE)^0.0833-1))*L346*12</f>
        <v>#REF!</v>
      </c>
      <c r="V346" s="638">
        <f>M346*$AP$6*AL$25</f>
        <v>0</v>
      </c>
      <c r="W346" s="669" t="e">
        <f>$AP$6*(1-AM$24)*((1+HLOOKUP($A$331,FC_Premissas!$D$5:$W$16,14,FALSE))^0.0833-1)*M346*12</f>
        <v>#REF!</v>
      </c>
      <c r="X346" s="637">
        <f>N346*$AX$6*AT$25</f>
        <v>0</v>
      </c>
      <c r="Y346" s="640" t="e">
        <f>$AX$6*(1-AU$24)*((1+HLOOKUP($A$331,FC_Premissas!$D$5:$W$16,14,FALSE))^0.0833-1)*N346*12</f>
        <v>#REF!</v>
      </c>
      <c r="Z346" s="638">
        <f t="shared" si="124"/>
        <v>0</v>
      </c>
      <c r="AA346" s="669" t="e">
        <f t="shared" si="124"/>
        <v>#REF!</v>
      </c>
      <c r="AB346" s="641"/>
    </row>
    <row r="347" spans="1:28" ht="11.25" customHeight="1" x14ac:dyDescent="0.2">
      <c r="A347" s="984"/>
      <c r="B347" s="633">
        <v>14</v>
      </c>
      <c r="C347" s="634">
        <f>IF(A331&lt;=$F$3,L321,0)</f>
        <v>0</v>
      </c>
      <c r="D347" s="598">
        <f>IF(A331&lt;=$F$3,M321,0)</f>
        <v>0</v>
      </c>
      <c r="E347" s="650">
        <f>IF(A331&lt;=$F$3,N321,0)</f>
        <v>0</v>
      </c>
      <c r="F347" s="634"/>
      <c r="G347" s="598"/>
      <c r="H347" s="598"/>
      <c r="I347" s="634"/>
      <c r="J347" s="598"/>
      <c r="K347" s="598"/>
      <c r="L347" s="634">
        <f>IF(A331&lt;=$F$3,C347+F347-I347,0)</f>
        <v>0</v>
      </c>
      <c r="M347" s="598">
        <f>IF(A331&lt;=$F$3,D347+G347-J347,0)</f>
        <v>0</v>
      </c>
      <c r="N347" s="598">
        <f>IF(A331&lt;=$F$3,E347+H347-K347,0)</f>
        <v>0</v>
      </c>
      <c r="O347" s="635">
        <f>IF(A331&lt;=$F$3,F347*Q347+G347*R347+H347*S347,0)</f>
        <v>0</v>
      </c>
      <c r="P347" s="636">
        <f>IF(A331&lt;=$F$3,I347*Q347+J347*R347+K347*S347,0)</f>
        <v>0</v>
      </c>
      <c r="Q347" s="637">
        <f t="shared" si="123"/>
        <v>52550.000000000044</v>
      </c>
      <c r="R347" s="638">
        <f t="shared" si="123"/>
        <v>81020.160000000062</v>
      </c>
      <c r="S347" s="639">
        <f t="shared" si="123"/>
        <v>84960.160000000062</v>
      </c>
      <c r="T347" s="637">
        <f>L347*$AH$6*AD$26</f>
        <v>0</v>
      </c>
      <c r="U347" s="640" t="e">
        <f>$AH$6*(1-AE$25)*((1+HLOOKUP($A$331,FC_Premissas!$D$5:$W$16,14,FALSE)^0.0833-1))*L347*12</f>
        <v>#REF!</v>
      </c>
      <c r="V347" s="638">
        <f>M347*$AP$6*AL$26</f>
        <v>0</v>
      </c>
      <c r="W347" s="669" t="e">
        <f>$AP$6*(1-AM$25)*((1+HLOOKUP($A$331,FC_Premissas!$D$5:$W$16,14,FALSE))^0.0833-1)*M347*12</f>
        <v>#REF!</v>
      </c>
      <c r="X347" s="637">
        <f>N347*$AX$6*AT$26</f>
        <v>0</v>
      </c>
      <c r="Y347" s="640" t="e">
        <f>$AX$6*(1-AU$25)*((1+HLOOKUP($A$331,FC_Premissas!$D$5:$W$16,14,FALSE))^0.0833-1)*N347*12</f>
        <v>#REF!</v>
      </c>
      <c r="Z347" s="638">
        <f t="shared" si="124"/>
        <v>0</v>
      </c>
      <c r="AA347" s="669" t="e">
        <f t="shared" si="124"/>
        <v>#REF!</v>
      </c>
      <c r="AB347" s="641"/>
    </row>
    <row r="348" spans="1:28" ht="11.25" customHeight="1" x14ac:dyDescent="0.2">
      <c r="A348" s="984"/>
      <c r="B348" s="633">
        <v>15</v>
      </c>
      <c r="C348" s="634">
        <f>IF(A331&lt;=$F$3,L322,0)</f>
        <v>0</v>
      </c>
      <c r="D348" s="598">
        <f>IF(A331&lt;=$F$3,M322,0)</f>
        <v>0</v>
      </c>
      <c r="E348" s="650">
        <f>IF(A331&lt;=$F$3,N322,0)</f>
        <v>0</v>
      </c>
      <c r="F348" s="634"/>
      <c r="G348" s="598"/>
      <c r="H348" s="598"/>
      <c r="I348" s="634"/>
      <c r="J348" s="598"/>
      <c r="K348" s="598"/>
      <c r="L348" s="634">
        <f>IF(A331&lt;=$F$3,C348+F348-I348,0)</f>
        <v>0</v>
      </c>
      <c r="M348" s="598">
        <f>IF(A331&lt;=$F$3,D348+G348-J348,0)</f>
        <v>0</v>
      </c>
      <c r="N348" s="598">
        <f>IF(A331&lt;=$F$3,E348+H348-K348,0)</f>
        <v>0</v>
      </c>
      <c r="O348" s="635">
        <f>IF(A331&lt;=$F$3,F348*Q348+G348*R348+H348*S348,0)</f>
        <v>0</v>
      </c>
      <c r="P348" s="636">
        <f>IF(A331&lt;=$F$3,I348*Q348+J348*R348+K348*S348,0)</f>
        <v>0</v>
      </c>
      <c r="Q348" s="637">
        <f t="shared" si="123"/>
        <v>52550.000000000044</v>
      </c>
      <c r="R348" s="638">
        <f t="shared" si="123"/>
        <v>81020.160000000062</v>
      </c>
      <c r="S348" s="639">
        <f t="shared" si="123"/>
        <v>84960.160000000062</v>
      </c>
      <c r="T348" s="637">
        <f t="shared" ref="T348:T353" si="125">L348*$AH$6*AD$27</f>
        <v>0</v>
      </c>
      <c r="U348" s="640" t="e">
        <f>$AH$6*(1-AE$26)*((1+HLOOKUP($A$331,FC_Premissas!$D$5:$W$16,14,FALSE)^0.0833-1))*L348*12</f>
        <v>#REF!</v>
      </c>
      <c r="V348" s="638">
        <f t="shared" ref="V348:V353" si="126">M348*$AP$6*AL$27</f>
        <v>0</v>
      </c>
      <c r="W348" s="669" t="e">
        <f>$AP$6*(1-AM$26)*((1+HLOOKUP($A$331,FC_Premissas!$D$5:$W$16,14,FALSE))^0.0833-1)*M348*12</f>
        <v>#REF!</v>
      </c>
      <c r="X348" s="637">
        <f t="shared" ref="X348:X353" si="127">N348*$AX$6*AT$27</f>
        <v>0</v>
      </c>
      <c r="Y348" s="640" t="e">
        <f>$AX$6*(1-AU$26)*((1+HLOOKUP($A$331,FC_Premissas!$D$5:$W$16,14,FALSE))^0.0833-1)*N348*12</f>
        <v>#REF!</v>
      </c>
      <c r="Z348" s="638">
        <f t="shared" si="124"/>
        <v>0</v>
      </c>
      <c r="AA348" s="640" t="e">
        <f t="shared" si="124"/>
        <v>#REF!</v>
      </c>
      <c r="AB348" s="641"/>
    </row>
    <row r="349" spans="1:28" x14ac:dyDescent="0.2">
      <c r="A349" s="984"/>
      <c r="B349" s="633">
        <v>16</v>
      </c>
      <c r="C349" s="634">
        <f>IF(A331&lt;=$F$3,L323,0)</f>
        <v>0</v>
      </c>
      <c r="D349" s="598">
        <f>IF(A331&lt;=$F$3,M323,0)</f>
        <v>0</v>
      </c>
      <c r="E349" s="650">
        <f>IF(A331&lt;=$F$3,N323,0)</f>
        <v>0</v>
      </c>
      <c r="F349" s="634"/>
      <c r="G349" s="598"/>
      <c r="H349" s="598"/>
      <c r="I349" s="634"/>
      <c r="J349" s="598"/>
      <c r="K349" s="598"/>
      <c r="L349" s="634">
        <f>IF(A331&lt;=$F$3,C349+F349-I349,0)</f>
        <v>0</v>
      </c>
      <c r="M349" s="598">
        <f>IF(A331&lt;=$F$3,D349+G349-J349,0)</f>
        <v>0</v>
      </c>
      <c r="N349" s="598">
        <f>IF(A331&lt;=$F$3,E349+H349-K349,0)</f>
        <v>0</v>
      </c>
      <c r="O349" s="635">
        <f>IF(A331&lt;=$F$3,F349*Q349+G349*R349+H349*S349,0)</f>
        <v>0</v>
      </c>
      <c r="P349" s="636">
        <f>IF(A331&lt;=$F$3,I349*Q349+J349*R349+K349*S349,0)</f>
        <v>0</v>
      </c>
      <c r="Q349" s="637">
        <f t="shared" ref="Q349:S353" si="128">Q324</f>
        <v>52550.000000000044</v>
      </c>
      <c r="R349" s="638">
        <f t="shared" si="128"/>
        <v>81020.160000000062</v>
      </c>
      <c r="S349" s="639">
        <f t="shared" si="128"/>
        <v>84960.160000000062</v>
      </c>
      <c r="T349" s="637">
        <f t="shared" si="125"/>
        <v>0</v>
      </c>
      <c r="U349" s="640" t="e">
        <f>$AH$6*(1-AE$27)*((1+HLOOKUP($A$331,FC_Premissas!$D$5:$W$16,14,FALSE)^0.0833-1))*L349*12</f>
        <v>#REF!</v>
      </c>
      <c r="V349" s="638">
        <f t="shared" si="126"/>
        <v>0</v>
      </c>
      <c r="W349" s="669" t="e">
        <f>$AP$6*(1-AM$27)*((1+HLOOKUP($A$331,FC_Premissas!$D$5:$W$16,14,FALSE))^0.0833-1)*M349*12</f>
        <v>#REF!</v>
      </c>
      <c r="X349" s="637">
        <f t="shared" si="127"/>
        <v>0</v>
      </c>
      <c r="Y349" s="640" t="e">
        <f>$AX$6*(1-AU$27)*((1+HLOOKUP($A$331,FC_Premissas!$D$5:$W$16,14,FALSE))^0.0833-1)*N349*12</f>
        <v>#REF!</v>
      </c>
      <c r="Z349" s="638">
        <f t="shared" si="124"/>
        <v>0</v>
      </c>
      <c r="AA349" s="640" t="e">
        <f t="shared" si="124"/>
        <v>#REF!</v>
      </c>
      <c r="AB349" s="641"/>
    </row>
    <row r="350" spans="1:28" x14ac:dyDescent="0.2">
      <c r="A350" s="984"/>
      <c r="B350" s="633">
        <v>17</v>
      </c>
      <c r="C350" s="634">
        <f>IF(A331&lt;=$F$3,L324,0)</f>
        <v>0</v>
      </c>
      <c r="D350" s="598">
        <f>IF(A331&lt;=$F$3,M324,0)</f>
        <v>0</v>
      </c>
      <c r="E350" s="650">
        <f>IF(A331&lt;=$F$3,N324,0)</f>
        <v>0</v>
      </c>
      <c r="F350" s="634"/>
      <c r="G350" s="598"/>
      <c r="H350" s="598"/>
      <c r="I350" s="634"/>
      <c r="J350" s="598"/>
      <c r="K350" s="598"/>
      <c r="L350" s="634">
        <f>IF(A331&lt;=$F$3,C350+F350-I350,0)</f>
        <v>0</v>
      </c>
      <c r="M350" s="598">
        <f>IF(A331&lt;=$F$3,D350+G350-J350,0)</f>
        <v>0</v>
      </c>
      <c r="N350" s="598">
        <f>IF(A331&lt;=$F$3,E350+H350-K350,0)</f>
        <v>0</v>
      </c>
      <c r="O350" s="635">
        <f>IF(A331&lt;=$F$3,F350*Q350+G350*R350+H350*S350,0)</f>
        <v>0</v>
      </c>
      <c r="P350" s="636">
        <f>IF(A331&lt;=$F$3,I350*Q350+J350*R350+K350*S350,0)</f>
        <v>0</v>
      </c>
      <c r="Q350" s="637">
        <f t="shared" si="128"/>
        <v>52550.000000000044</v>
      </c>
      <c r="R350" s="638">
        <f t="shared" si="128"/>
        <v>81020.160000000062</v>
      </c>
      <c r="S350" s="639">
        <f t="shared" si="128"/>
        <v>84960.160000000062</v>
      </c>
      <c r="T350" s="637">
        <f t="shared" si="125"/>
        <v>0</v>
      </c>
      <c r="U350" s="640" t="e">
        <f>$AH$6*(1-AE$28)*((1+HLOOKUP($A$331,FC_Premissas!$D$5:$W$16,14,FALSE)^0.0833-1))*L350*12</f>
        <v>#REF!</v>
      </c>
      <c r="V350" s="638">
        <f t="shared" si="126"/>
        <v>0</v>
      </c>
      <c r="W350" s="669" t="e">
        <f>$AP$6*(1-AM$28)*((1+HLOOKUP($A$331,FC_Premissas!$D$5:$W$16,14,FALSE))^0.0833-1)*M350*12</f>
        <v>#REF!</v>
      </c>
      <c r="X350" s="637">
        <f t="shared" si="127"/>
        <v>0</v>
      </c>
      <c r="Y350" s="640" t="e">
        <f>$AX$6*(1-AU$28)*((1+HLOOKUP($A$331,FC_Premissas!$D$5:$W$16,14,FALSE))^0.0833-1)*N350*12</f>
        <v>#REF!</v>
      </c>
      <c r="Z350" s="638">
        <f t="shared" si="124"/>
        <v>0</v>
      </c>
      <c r="AA350" s="640" t="e">
        <f t="shared" si="124"/>
        <v>#REF!</v>
      </c>
      <c r="AB350" s="641"/>
    </row>
    <row r="351" spans="1:28" x14ac:dyDescent="0.2">
      <c r="A351" s="984"/>
      <c r="B351" s="633">
        <v>18</v>
      </c>
      <c r="C351" s="634">
        <f>IF(A331&lt;=$F$3,L325,0)</f>
        <v>0</v>
      </c>
      <c r="D351" s="598">
        <f>IF(A331&lt;=$F$3,M325,0)</f>
        <v>0</v>
      </c>
      <c r="E351" s="650">
        <f>IF(A331&lt;=$F$3,N325,0)</f>
        <v>0</v>
      </c>
      <c r="F351" s="634"/>
      <c r="G351" s="598"/>
      <c r="H351" s="598"/>
      <c r="I351" s="634"/>
      <c r="J351" s="598"/>
      <c r="K351" s="598"/>
      <c r="L351" s="634">
        <f>IF(A331&lt;=$F$3,C351+F351-I351,0)</f>
        <v>0</v>
      </c>
      <c r="M351" s="598">
        <f>IF(A331&lt;=$F$3,D351+G351-J351,0)</f>
        <v>0</v>
      </c>
      <c r="N351" s="598">
        <f>IF(A331&lt;=$F$3,E351+H351-K351,0)</f>
        <v>0</v>
      </c>
      <c r="O351" s="635">
        <f>IF(A331&lt;=$F$3,F351*Q351+G351*R351+H351*S351,0)</f>
        <v>0</v>
      </c>
      <c r="P351" s="636">
        <f>IF(A331&lt;=$F$3,I351*Q351+J351*R351+K351*S351,0)</f>
        <v>0</v>
      </c>
      <c r="Q351" s="637">
        <f t="shared" si="128"/>
        <v>52550.000000000044</v>
      </c>
      <c r="R351" s="638">
        <f t="shared" si="128"/>
        <v>81020.160000000062</v>
      </c>
      <c r="S351" s="639">
        <f t="shared" si="128"/>
        <v>84960.160000000062</v>
      </c>
      <c r="T351" s="637">
        <f t="shared" si="125"/>
        <v>0</v>
      </c>
      <c r="U351" s="640" t="e">
        <f>$AH$6*(1-AE$29)*((1+HLOOKUP($A$331,FC_Premissas!$D$5:$W$16,14,FALSE)^0.0833-1))*L351*12</f>
        <v>#REF!</v>
      </c>
      <c r="V351" s="638">
        <f t="shared" si="126"/>
        <v>0</v>
      </c>
      <c r="W351" s="669" t="e">
        <f>$AP$6*(1-AM$29)*((1+HLOOKUP($A$331,FC_Premissas!$D$5:$W$16,14,FALSE))^0.0833-1)*M351*12</f>
        <v>#REF!</v>
      </c>
      <c r="X351" s="637">
        <f t="shared" si="127"/>
        <v>0</v>
      </c>
      <c r="Y351" s="640" t="e">
        <f>$AX$6*(1-AU$29)*((1+HLOOKUP($A$331,FC_Premissas!$D$5:$W$16,14,FALSE))^0.0833-1)*N351*12</f>
        <v>#REF!</v>
      </c>
      <c r="Z351" s="638">
        <f t="shared" si="124"/>
        <v>0</v>
      </c>
      <c r="AA351" s="640" t="e">
        <f t="shared" si="124"/>
        <v>#REF!</v>
      </c>
      <c r="AB351" s="641"/>
    </row>
    <row r="352" spans="1:28" x14ac:dyDescent="0.2">
      <c r="A352" s="984"/>
      <c r="B352" s="633">
        <v>19</v>
      </c>
      <c r="C352" s="634">
        <f>IF(A331&lt;=$F$3,L326,0)</f>
        <v>0</v>
      </c>
      <c r="D352" s="598">
        <f>IF(A331&lt;=$F$3,M326,0)</f>
        <v>0</v>
      </c>
      <c r="E352" s="650">
        <f>IF(A331&lt;=$F$3,N326,0)</f>
        <v>0</v>
      </c>
      <c r="F352" s="634"/>
      <c r="G352" s="598"/>
      <c r="H352" s="598"/>
      <c r="I352" s="634"/>
      <c r="J352" s="598"/>
      <c r="K352" s="598"/>
      <c r="L352" s="634">
        <f>IF(A331&lt;=$F$3,C352+F352-I352,0)</f>
        <v>0</v>
      </c>
      <c r="M352" s="598">
        <f>IF(A331&lt;=$F$3,D352+G352-J352,0)</f>
        <v>0</v>
      </c>
      <c r="N352" s="598">
        <f>IF(A331&lt;=$F$3,E352+H352-K352,0)</f>
        <v>0</v>
      </c>
      <c r="O352" s="635">
        <f>IF(A331&lt;=$F$3,F352*Q352+G352*R352+H352*S352,0)</f>
        <v>0</v>
      </c>
      <c r="P352" s="636">
        <f>IF(A331&lt;=$F$3,I352*Q352+J352*R352+K352*S352,0)</f>
        <v>0</v>
      </c>
      <c r="Q352" s="637">
        <f t="shared" si="128"/>
        <v>52550.000000000044</v>
      </c>
      <c r="R352" s="638">
        <f t="shared" si="128"/>
        <v>81020.160000000062</v>
      </c>
      <c r="S352" s="639">
        <f t="shared" si="128"/>
        <v>84960.160000000062</v>
      </c>
      <c r="T352" s="637">
        <f t="shared" si="125"/>
        <v>0</v>
      </c>
      <c r="U352" s="640" t="e">
        <f>$AH$6*(1-AE$30)*((1+HLOOKUP($A$331,FC_Premissas!$D$5:$W$16,14,FALSE)^0.0833-1))*L352*12</f>
        <v>#REF!</v>
      </c>
      <c r="V352" s="638">
        <f t="shared" si="126"/>
        <v>0</v>
      </c>
      <c r="W352" s="669" t="e">
        <f>$AP$6*(1-AM$30)*((1+HLOOKUP($A$331,FC_Premissas!$D$5:$W$16,14,FALSE))^0.0833-1)*M352*12</f>
        <v>#REF!</v>
      </c>
      <c r="X352" s="637">
        <f t="shared" si="127"/>
        <v>0</v>
      </c>
      <c r="Y352" s="640" t="e">
        <f>$AX$6*(1-AU$30)*((1+HLOOKUP($A$331,FC_Premissas!$D$5:$W$16,14,FALSE))^0.0833-1)*N352*12</f>
        <v>#REF!</v>
      </c>
      <c r="Z352" s="638">
        <f t="shared" si="124"/>
        <v>0</v>
      </c>
      <c r="AA352" s="640" t="e">
        <f t="shared" si="124"/>
        <v>#REF!</v>
      </c>
      <c r="AB352" s="641"/>
    </row>
    <row r="353" spans="1:28" x14ac:dyDescent="0.2">
      <c r="A353" s="984"/>
      <c r="B353" s="633">
        <v>20</v>
      </c>
      <c r="C353" s="616">
        <f>IF(A331&lt;=$F$3,L327,0)</f>
        <v>0</v>
      </c>
      <c r="D353" s="617">
        <f>IF(A331&lt;=$F$3,M327,0)</f>
        <v>0</v>
      </c>
      <c r="E353" s="650">
        <f>IF(A331&lt;=$F$3,N327,0)</f>
        <v>0</v>
      </c>
      <c r="F353" s="616"/>
      <c r="G353" s="617"/>
      <c r="H353" s="598"/>
      <c r="I353" s="616"/>
      <c r="J353" s="617"/>
      <c r="K353" s="598"/>
      <c r="L353" s="616">
        <f>IF(A331&lt;=$F$3,C353+F353-I353,0)</f>
        <v>0</v>
      </c>
      <c r="M353" s="617">
        <f>IF(A331&lt;=$F$3,D353+G353-J353,0)</f>
        <v>0</v>
      </c>
      <c r="N353" s="598">
        <f>IF(A331&lt;=$F$3,E353+H353-K353,0)</f>
        <v>0</v>
      </c>
      <c r="O353" s="635">
        <f>IF(A331&lt;=$F$3,F353*Q353+G353*R353+H353*S353,0)</f>
        <v>0</v>
      </c>
      <c r="P353" s="636">
        <f>IF(A331&lt;=$F$3,I353*Q353+J353*R353+K353*S353,0)</f>
        <v>0</v>
      </c>
      <c r="Q353" s="651">
        <f t="shared" si="128"/>
        <v>52550.000000000044</v>
      </c>
      <c r="R353" s="652">
        <f t="shared" si="128"/>
        <v>81020.160000000062</v>
      </c>
      <c r="S353" s="653">
        <f t="shared" si="128"/>
        <v>84960.160000000062</v>
      </c>
      <c r="T353" s="651">
        <f t="shared" si="125"/>
        <v>0</v>
      </c>
      <c r="U353" s="654" t="e">
        <f>$AH$6*(1-AE$31)*((1+HLOOKUP($A$331,FC_Premissas!$D$5:$W$16,14,FALSE)^0.0833-1))*L353*12</f>
        <v>#REF!</v>
      </c>
      <c r="V353" s="652">
        <f t="shared" si="126"/>
        <v>0</v>
      </c>
      <c r="W353" s="678" t="e">
        <f>$AP$6*(1-AM$31)*((1+HLOOKUP($A$331,FC_Premissas!$D$5:$W$16,14,FALSE))^0.0833-1)*M353*12</f>
        <v>#REF!</v>
      </c>
      <c r="X353" s="651">
        <f t="shared" si="127"/>
        <v>0</v>
      </c>
      <c r="Y353" s="654" t="e">
        <f>$AX$6*(1-AU$31)*((1+HLOOKUP($A$331,FC_Premissas!$D$5:$W$16,14,FALSE))^0.0833-1)*N353*12</f>
        <v>#REF!</v>
      </c>
      <c r="Z353" s="652">
        <f t="shared" si="124"/>
        <v>0</v>
      </c>
      <c r="AA353" s="654" t="e">
        <f t="shared" si="124"/>
        <v>#REF!</v>
      </c>
      <c r="AB353" s="641"/>
    </row>
    <row r="354" spans="1:28" x14ac:dyDescent="0.2">
      <c r="A354" s="984"/>
      <c r="B354" s="655" t="s">
        <v>1228</v>
      </c>
      <c r="C354" s="656">
        <f t="shared" ref="C354:P354" si="129">SUM(C333:C353)</f>
        <v>0</v>
      </c>
      <c r="D354" s="657">
        <f t="shared" si="129"/>
        <v>0</v>
      </c>
      <c r="E354" s="658">
        <f t="shared" si="129"/>
        <v>11</v>
      </c>
      <c r="F354" s="656">
        <f t="shared" si="129"/>
        <v>0</v>
      </c>
      <c r="G354" s="657">
        <f t="shared" si="129"/>
        <v>0</v>
      </c>
      <c r="H354" s="658">
        <f t="shared" si="129"/>
        <v>4</v>
      </c>
      <c r="I354" s="656">
        <f t="shared" si="129"/>
        <v>0</v>
      </c>
      <c r="J354" s="657">
        <f t="shared" si="129"/>
        <v>0</v>
      </c>
      <c r="K354" s="658">
        <f t="shared" si="129"/>
        <v>4</v>
      </c>
      <c r="L354" s="656">
        <f t="shared" si="129"/>
        <v>0</v>
      </c>
      <c r="M354" s="657">
        <f t="shared" si="129"/>
        <v>0</v>
      </c>
      <c r="N354" s="657">
        <f t="shared" si="129"/>
        <v>11</v>
      </c>
      <c r="O354" s="659">
        <f t="shared" si="129"/>
        <v>1057920.4654545456</v>
      </c>
      <c r="P354" s="660">
        <f t="shared" si="129"/>
        <v>339840.64000000025</v>
      </c>
      <c r="Q354" s="638"/>
      <c r="R354" s="638"/>
      <c r="S354" s="638"/>
      <c r="T354" s="661">
        <f t="shared" ref="T354:AA354" si="130">SUM(T333:T353)</f>
        <v>0</v>
      </c>
      <c r="U354" s="662" t="e">
        <f t="shared" si="130"/>
        <v>#REF!</v>
      </c>
      <c r="V354" s="663">
        <f t="shared" si="130"/>
        <v>0</v>
      </c>
      <c r="W354" s="662" t="e">
        <f t="shared" si="130"/>
        <v>#REF!</v>
      </c>
      <c r="X354" s="663">
        <f t="shared" si="130"/>
        <v>394943.90399999998</v>
      </c>
      <c r="Y354" s="662" t="e">
        <f t="shared" si="130"/>
        <v>#REF!</v>
      </c>
      <c r="Z354" s="663">
        <f t="shared" si="130"/>
        <v>394943.90399999998</v>
      </c>
      <c r="AA354" s="664" t="e">
        <f t="shared" si="130"/>
        <v>#REF!</v>
      </c>
      <c r="AB354" s="641"/>
    </row>
    <row r="355" spans="1:28" x14ac:dyDescent="0.2">
      <c r="A355" s="985"/>
      <c r="B355" s="977" t="s">
        <v>1229</v>
      </c>
      <c r="C355" s="977"/>
      <c r="D355" s="977"/>
      <c r="E355" s="666">
        <f>(L355*L354+M355*M354+N355*N354)/(L354+M354+N354)</f>
        <v>7</v>
      </c>
      <c r="F355" s="665" t="s">
        <v>140</v>
      </c>
      <c r="G355" s="665"/>
      <c r="H355" s="665"/>
      <c r="I355" s="665"/>
      <c r="J355" s="665"/>
      <c r="K355" s="665"/>
      <c r="L355" s="887">
        <f>IF(L354=0,0,(SUMPRODUCT(L333:L353,$B333:$B353)/L354))</f>
        <v>0</v>
      </c>
      <c r="M355" s="887">
        <f>IF(M354=0,0,(SUMPRODUCT(M333:M353,$B333:$B353)/M354))</f>
        <v>0</v>
      </c>
      <c r="N355" s="887">
        <f>IF(N354=0,0,ROUND(SUMPRODUCT(N333:N353,$B333:$B353)/N354,0))</f>
        <v>7</v>
      </c>
      <c r="O355" s="667"/>
      <c r="P355" s="668"/>
      <c r="Q355" s="638"/>
      <c r="R355" s="638"/>
      <c r="S355" s="638"/>
      <c r="T355" s="638"/>
      <c r="U355" s="669"/>
      <c r="V355" s="638"/>
      <c r="W355" s="669"/>
      <c r="X355" s="638"/>
      <c r="Y355" s="669"/>
      <c r="Z355" s="638"/>
      <c r="AA355" s="669"/>
    </row>
    <row r="356" spans="1:28" ht="12.75" customHeight="1" x14ac:dyDescent="0.2">
      <c r="A356" s="983">
        <f>A331+1</f>
        <v>15</v>
      </c>
      <c r="B356" s="986" t="s">
        <v>1077</v>
      </c>
      <c r="C356" s="988" t="s">
        <v>1202</v>
      </c>
      <c r="D356" s="989"/>
      <c r="E356" s="990"/>
      <c r="F356" s="991" t="s">
        <v>1203</v>
      </c>
      <c r="G356" s="992"/>
      <c r="H356" s="993"/>
      <c r="I356" s="991" t="s">
        <v>1204</v>
      </c>
      <c r="J356" s="992"/>
      <c r="K356" s="993"/>
      <c r="L356" s="991" t="s">
        <v>1205</v>
      </c>
      <c r="M356" s="992"/>
      <c r="N356" s="992"/>
      <c r="O356" s="978" t="s">
        <v>1206</v>
      </c>
      <c r="P356" s="979"/>
      <c r="Q356" s="980" t="s">
        <v>1207</v>
      </c>
      <c r="R356" s="981"/>
      <c r="S356" s="982"/>
      <c r="T356" s="607" t="s">
        <v>1208</v>
      </c>
      <c r="U356" s="609" t="s">
        <v>1209</v>
      </c>
      <c r="V356" s="608" t="s">
        <v>1210</v>
      </c>
      <c r="W356" s="610" t="s">
        <v>1211</v>
      </c>
      <c r="X356" s="607" t="s">
        <v>1210</v>
      </c>
      <c r="Y356" s="609" t="s">
        <v>1211</v>
      </c>
      <c r="Z356" s="607" t="s">
        <v>1210</v>
      </c>
      <c r="AA356" s="609" t="s">
        <v>1211</v>
      </c>
    </row>
    <row r="357" spans="1:28" x14ac:dyDescent="0.2">
      <c r="A357" s="984"/>
      <c r="B357" s="987"/>
      <c r="C357" s="616" t="str">
        <f>$C$7</f>
        <v>Mini</v>
      </c>
      <c r="D357" s="617" t="str">
        <f>$D$7</f>
        <v>Midi</v>
      </c>
      <c r="E357" s="617" t="str">
        <f>$E$7</f>
        <v>Básico</v>
      </c>
      <c r="F357" s="616" t="str">
        <f>$C$7</f>
        <v>Mini</v>
      </c>
      <c r="G357" s="617" t="str">
        <f>$D$7</f>
        <v>Midi</v>
      </c>
      <c r="H357" s="617" t="str">
        <f>$E$7</f>
        <v>Básico</v>
      </c>
      <c r="I357" s="616" t="str">
        <f>$C$7</f>
        <v>Mini</v>
      </c>
      <c r="J357" s="617" t="str">
        <f>$D$7</f>
        <v>Midi</v>
      </c>
      <c r="K357" s="617" t="str">
        <f>$E$7</f>
        <v>Básico</v>
      </c>
      <c r="L357" s="616" t="str">
        <f>$C$7</f>
        <v>Mini</v>
      </c>
      <c r="M357" s="617" t="str">
        <f>$D$7</f>
        <v>Midi</v>
      </c>
      <c r="N357" s="617" t="str">
        <f>$E$7</f>
        <v>Básico</v>
      </c>
      <c r="O357" s="667" t="s">
        <v>1203</v>
      </c>
      <c r="P357" s="668" t="s">
        <v>1204</v>
      </c>
      <c r="Q357" s="620" t="str">
        <f>C357</f>
        <v>Mini</v>
      </c>
      <c r="R357" s="621" t="str">
        <f>D357</f>
        <v>Midi</v>
      </c>
      <c r="S357" s="622" t="str">
        <f>E357</f>
        <v>Básico</v>
      </c>
      <c r="T357" s="623" t="str">
        <f>C357</f>
        <v>Mini</v>
      </c>
      <c r="U357" s="624" t="str">
        <f>C357</f>
        <v>Mini</v>
      </c>
      <c r="V357" s="625" t="str">
        <f>D357</f>
        <v>Midi</v>
      </c>
      <c r="W357" s="626" t="str">
        <f>D357</f>
        <v>Midi</v>
      </c>
      <c r="X357" s="623" t="str">
        <f>E357</f>
        <v>Básico</v>
      </c>
      <c r="Y357" s="624" t="str">
        <f>E357</f>
        <v>Básico</v>
      </c>
      <c r="Z357" s="627" t="s">
        <v>1218</v>
      </c>
      <c r="AA357" s="628" t="s">
        <v>1218</v>
      </c>
    </row>
    <row r="358" spans="1:28" x14ac:dyDescent="0.2">
      <c r="A358" s="984"/>
      <c r="B358" s="633">
        <v>0</v>
      </c>
      <c r="C358" s="634">
        <v>0</v>
      </c>
      <c r="F358" s="965"/>
      <c r="G358" s="966"/>
      <c r="H358" s="675"/>
      <c r="I358" s="598"/>
      <c r="J358" s="598"/>
      <c r="K358" s="676"/>
      <c r="L358" s="634">
        <f>IF(A356&lt;=$F$3,C358+F358-I358,0)</f>
        <v>0</v>
      </c>
      <c r="M358" s="598">
        <f>IF(A356&lt;=$F$3,D358+G358-J358,0)</f>
        <v>0</v>
      </c>
      <c r="N358" s="598">
        <f>IF(A356&lt;=$F$3,E358+H358-K358,0)</f>
        <v>0</v>
      </c>
      <c r="O358" s="635">
        <f>IF(A356&lt;=$F$3,F358*Q358+G358*R358+H358*S358,0)</f>
        <v>0</v>
      </c>
      <c r="P358" s="636">
        <f>IF(A356&lt;=$F$3,I358*Q358+J358*R358+K358*S358,0)</f>
        <v>0</v>
      </c>
      <c r="Q358" s="637">
        <f t="shared" ref="Q358:S373" si="131">Q333</f>
        <v>525500</v>
      </c>
      <c r="R358" s="638">
        <f t="shared" si="131"/>
        <v>703800</v>
      </c>
      <c r="S358" s="639">
        <f t="shared" si="131"/>
        <v>743200</v>
      </c>
      <c r="T358" s="637">
        <f>L358*$AH$6*AD$12</f>
        <v>0</v>
      </c>
      <c r="U358" s="640" t="e">
        <f>$AH$6*(1-AE$11)*((1+HLOOKUP($A$356,FC_Premissas!$D$5:$W$16,14,FALSE)^0.0833-1))*L358*12</f>
        <v>#REF!</v>
      </c>
      <c r="V358" s="638">
        <f>M358*$AP$6*AL$12</f>
        <v>0</v>
      </c>
      <c r="W358" s="669" t="e">
        <f>$AP$6*(1-AM$11)*((1+HLOOKUP($A$356,FC_Premissas!$D$5:$W$16,14,FALSE)^0.0833-1))*M358*12</f>
        <v>#REF!</v>
      </c>
      <c r="X358" s="637">
        <f>N358*$AX$6*AT$12</f>
        <v>0</v>
      </c>
      <c r="Y358" s="640" t="e">
        <f>$AX$6*(1-AU$11)*((1+HLOOKUP($A$356,FC_Premissas!$D$5:$W$16,14,FALSE)^0.0833-1))*N358*12</f>
        <v>#REF!</v>
      </c>
      <c r="Z358" s="638">
        <f t="shared" ref="Z358:AA378" si="132">T358+V358+X358</f>
        <v>0</v>
      </c>
      <c r="AA358" s="669" t="e">
        <f t="shared" si="132"/>
        <v>#REF!</v>
      </c>
      <c r="AB358" s="641"/>
    </row>
    <row r="359" spans="1:28" x14ac:dyDescent="0.2">
      <c r="A359" s="984"/>
      <c r="B359" s="633">
        <v>1</v>
      </c>
      <c r="C359" s="634">
        <f>IF(A356&lt;=$F$3,L333,0)</f>
        <v>0</v>
      </c>
      <c r="D359" s="598">
        <f>IF(A356&lt;=$F$3,M333,0)</f>
        <v>0</v>
      </c>
      <c r="E359" s="598">
        <f>IF(A356&lt;=$F$3,N333,0)</f>
        <v>0</v>
      </c>
      <c r="F359" s="634"/>
      <c r="G359" s="598"/>
      <c r="H359" s="677"/>
      <c r="I359" s="598"/>
      <c r="J359" s="598"/>
      <c r="K359" s="676"/>
      <c r="L359" s="634">
        <f>IF(A356&lt;=$F$3,C359+F359-I359,0)</f>
        <v>0</v>
      </c>
      <c r="M359" s="598">
        <f>IF(A356&lt;=$F$3,D359+G359-J359,0)</f>
        <v>0</v>
      </c>
      <c r="N359" s="598">
        <f>IF(A356&lt;=$F$3,E359+H359-K359,0)</f>
        <v>0</v>
      </c>
      <c r="O359" s="635">
        <f>IF(A356&lt;=$F$3,F359*Q359+G359*R359+H359*S359,0)</f>
        <v>0</v>
      </c>
      <c r="P359" s="636">
        <f>IF(A356&lt;=$F$3,I359*Q359+J359*R359+K359*S359,0)</f>
        <v>0</v>
      </c>
      <c r="Q359" s="637">
        <f t="shared" si="131"/>
        <v>439509.09090909094</v>
      </c>
      <c r="R359" s="638">
        <f t="shared" si="131"/>
        <v>590567.30181818188</v>
      </c>
      <c r="S359" s="639">
        <f t="shared" si="131"/>
        <v>623520.02909090917</v>
      </c>
      <c r="T359" s="637">
        <f>L359*$AH$6*AD$13</f>
        <v>0</v>
      </c>
      <c r="U359" s="640" t="e">
        <f>$AH$6*(1-AE$12)*((1+HLOOKUP($A$356,FC_Premissas!$D$5:$W$16,14,FALSE)^0.0833-1))*L359*12</f>
        <v>#REF!</v>
      </c>
      <c r="V359" s="638">
        <f>M359*$AP$6*AL$13</f>
        <v>0</v>
      </c>
      <c r="W359" s="669" t="e">
        <f>$AP$6*(1-AM$12)*((1+HLOOKUP($A$356,FC_Premissas!$D$5:$W$16,14,FALSE))^0.0833-1)*M359*12</f>
        <v>#REF!</v>
      </c>
      <c r="X359" s="637">
        <f>N359*$AX$6*AT$13</f>
        <v>0</v>
      </c>
      <c r="Y359" s="640" t="e">
        <f>$AX$6*(1-AU$12)*((1+HLOOKUP($A$356,FC_Premissas!$D$5:$W$16,14,FALSE))^0.0833-1)*N359*12</f>
        <v>#REF!</v>
      </c>
      <c r="Z359" s="638">
        <f t="shared" si="132"/>
        <v>0</v>
      </c>
      <c r="AA359" s="669" t="e">
        <f t="shared" si="132"/>
        <v>#REF!</v>
      </c>
      <c r="AB359" s="641"/>
    </row>
    <row r="360" spans="1:28" x14ac:dyDescent="0.2">
      <c r="A360" s="984"/>
      <c r="B360" s="633">
        <v>2</v>
      </c>
      <c r="C360" s="634">
        <f>IF(A356&lt;=$F$3,L334,0)</f>
        <v>0</v>
      </c>
      <c r="D360" s="598">
        <f>IF(A356&lt;=$F$3,M334,0)</f>
        <v>0</v>
      </c>
      <c r="E360" s="598">
        <f>IF(A356&lt;=$F$3,N334,0)</f>
        <v>0</v>
      </c>
      <c r="F360" s="634"/>
      <c r="G360" s="598"/>
      <c r="H360" s="677"/>
      <c r="I360" s="598"/>
      <c r="J360" s="598"/>
      <c r="K360" s="676"/>
      <c r="L360" s="634">
        <f>IF(A356&lt;=$F$3,C360+F360-I360,0)</f>
        <v>0</v>
      </c>
      <c r="M360" s="598">
        <f>IF(A356&lt;=$F$3,D360+G360-J360,0)</f>
        <v>0</v>
      </c>
      <c r="N360" s="598">
        <f>IF(A356&lt;=$F$3,E360+H360-K360,0)</f>
        <v>0</v>
      </c>
      <c r="O360" s="635">
        <f>IF(A356&lt;=$F$3,F360*Q360+G360*R360+H360*S360,0)</f>
        <v>0</v>
      </c>
      <c r="P360" s="636">
        <f>IF(A356&lt;=$F$3,I360*Q360+J360*R360+K360*S360,0)</f>
        <v>0</v>
      </c>
      <c r="Q360" s="637">
        <f t="shared" si="131"/>
        <v>362117.27272727271</v>
      </c>
      <c r="R360" s="638">
        <f t="shared" si="131"/>
        <v>488657.87345454545</v>
      </c>
      <c r="S360" s="639">
        <f t="shared" si="131"/>
        <v>515808.05527272727</v>
      </c>
      <c r="T360" s="637">
        <f>L360*$AH$6*AD$14</f>
        <v>0</v>
      </c>
      <c r="U360" s="640" t="e">
        <f>$AH$6*(1-AE$13)*((1+HLOOKUP($A$356,FC_Premissas!$D$5:$W$16,14,FALSE)^0.0833-1))*L360*12</f>
        <v>#REF!</v>
      </c>
      <c r="V360" s="638">
        <f>M360*$AP$6*AL$14</f>
        <v>0</v>
      </c>
      <c r="W360" s="669" t="e">
        <f>$AP$6*(1-AM$13)*((1+HLOOKUP($A$356,FC_Premissas!$D$5:$W$16,14,FALSE))^0.0833-1)*M360*12</f>
        <v>#REF!</v>
      </c>
      <c r="X360" s="637">
        <f>N360*$AX$6*AT$14</f>
        <v>0</v>
      </c>
      <c r="Y360" s="640" t="e">
        <f>$AX$6*(1-AU$13)*((1+HLOOKUP($A$356,FC_Premissas!$D$5:$W$16,14,FALSE))^0.0833-1)*N360*12</f>
        <v>#REF!</v>
      </c>
      <c r="Z360" s="638">
        <f t="shared" si="132"/>
        <v>0</v>
      </c>
      <c r="AA360" s="669" t="e">
        <f t="shared" si="132"/>
        <v>#REF!</v>
      </c>
      <c r="AB360" s="641"/>
    </row>
    <row r="361" spans="1:28" x14ac:dyDescent="0.2">
      <c r="A361" s="984"/>
      <c r="B361" s="633">
        <v>3</v>
      </c>
      <c r="C361" s="634">
        <f>IF(A356&lt;=$F$3,L335,0)</f>
        <v>0</v>
      </c>
      <c r="D361" s="598">
        <f>IF(A356&lt;=$F$3,M335,0)</f>
        <v>0</v>
      </c>
      <c r="E361" s="598">
        <f>IF(A356&lt;=$F$3,N335,0)</f>
        <v>0</v>
      </c>
      <c r="F361" s="634"/>
      <c r="G361" s="598"/>
      <c r="H361" s="677"/>
      <c r="I361" s="598"/>
      <c r="J361" s="598"/>
      <c r="K361" s="676"/>
      <c r="L361" s="634">
        <f>IF(A356&lt;=$F$3,C361+F361-I361,0)</f>
        <v>0</v>
      </c>
      <c r="M361" s="598">
        <f>IF(A356&lt;=$F$3,D361+G361-J361,0)</f>
        <v>0</v>
      </c>
      <c r="N361" s="598">
        <f>IF(A356&lt;=$F$3,E361+H361-K361,0)</f>
        <v>0</v>
      </c>
      <c r="O361" s="635">
        <f>IF(A356&lt;=$F$3,F361*Q361+G361*R361+H361*S361,0)</f>
        <v>0</v>
      </c>
      <c r="P361" s="636">
        <f>IF(A356&lt;=$F$3,I361*Q361+J361*R361+K361*S361,0)</f>
        <v>0</v>
      </c>
      <c r="Q361" s="637">
        <f t="shared" si="131"/>
        <v>293324.54545454541</v>
      </c>
      <c r="R361" s="638">
        <f t="shared" si="131"/>
        <v>398071.71490909089</v>
      </c>
      <c r="S361" s="639">
        <f t="shared" si="131"/>
        <v>420064.07854545448</v>
      </c>
      <c r="T361" s="637">
        <f>L361*$AH$6*AD$15</f>
        <v>0</v>
      </c>
      <c r="U361" s="640" t="e">
        <f>$AH$6*(1-AE$14)*((1+HLOOKUP($A$356,FC_Premissas!$D$5:$W$16,14,FALSE)^0.0833-1))*L361*12</f>
        <v>#REF!</v>
      </c>
      <c r="V361" s="638">
        <f>M361*$AP$6*AL$15</f>
        <v>0</v>
      </c>
      <c r="W361" s="669" t="e">
        <f>$AP$6*(1-AM$14)*((1+HLOOKUP($A$356,FC_Premissas!$D$5:$W$16,14,FALSE))^0.0833-1)*M361*12</f>
        <v>#REF!</v>
      </c>
      <c r="X361" s="637">
        <f>N361*$AX$6*AT$15</f>
        <v>0</v>
      </c>
      <c r="Y361" s="640" t="e">
        <f>$AX$6*(1-AU$14)*((1+HLOOKUP($A$356,FC_Premissas!$D$5:$W$16,14,FALSE))^0.0833-1)*N361*12</f>
        <v>#REF!</v>
      </c>
      <c r="Z361" s="638">
        <f t="shared" si="132"/>
        <v>0</v>
      </c>
      <c r="AA361" s="669" t="e">
        <f t="shared" si="132"/>
        <v>#REF!</v>
      </c>
      <c r="AB361" s="641"/>
    </row>
    <row r="362" spans="1:28" x14ac:dyDescent="0.2">
      <c r="A362" s="984"/>
      <c r="B362" s="633">
        <v>4</v>
      </c>
      <c r="C362" s="634">
        <f>IF(A356&lt;=$F$3,L336,0)</f>
        <v>0</v>
      </c>
      <c r="D362" s="598">
        <f>IF(A356&lt;=$F$3,M336,0)</f>
        <v>0</v>
      </c>
      <c r="E362" s="598">
        <f>IF(A356&lt;=$F$3,N336,0)</f>
        <v>0</v>
      </c>
      <c r="F362" s="634"/>
      <c r="G362" s="598"/>
      <c r="H362" s="677"/>
      <c r="I362" s="598"/>
      <c r="J362" s="598"/>
      <c r="K362" s="676"/>
      <c r="L362" s="634">
        <f>IF(A356&lt;=$F$3,C362+F362-I362,0)</f>
        <v>0</v>
      </c>
      <c r="M362" s="598">
        <f>IF(A356&lt;=$F$3,D362+G362-J362,0)</f>
        <v>0</v>
      </c>
      <c r="N362" s="598">
        <f>IF(A356&lt;=$F$3,E362+H362-K362,0)</f>
        <v>0</v>
      </c>
      <c r="O362" s="635">
        <f>IF(A356&lt;=$F$3,F362*Q362+G362*R362+H362*S362,0)</f>
        <v>0</v>
      </c>
      <c r="P362" s="636">
        <f>IF(A356&lt;=$F$3,I362*Q362+J362*R362+K362*S362,0)</f>
        <v>0</v>
      </c>
      <c r="Q362" s="637">
        <f t="shared" si="131"/>
        <v>233130.90909090909</v>
      </c>
      <c r="R362" s="638">
        <f t="shared" si="131"/>
        <v>318808.82618181815</v>
      </c>
      <c r="S362" s="639">
        <f t="shared" si="131"/>
        <v>336288.09890909091</v>
      </c>
      <c r="T362" s="637">
        <f>L362*$AH$6*AD$16</f>
        <v>0</v>
      </c>
      <c r="U362" s="640" t="e">
        <f>$AH$6*(1-AE$15)*((1+HLOOKUP($A$356,FC_Premissas!$D$5:$W$16,14,FALSE)^0.0833-1))*L362*12</f>
        <v>#REF!</v>
      </c>
      <c r="V362" s="638">
        <f>M362*$AP$6*AL$16</f>
        <v>0</v>
      </c>
      <c r="W362" s="669" t="e">
        <f>$AP$6*(1-AM$15)*((1+HLOOKUP($A$356,FC_Premissas!$D$5:$W$16,14,FALSE))^0.0833-1)*M362*12</f>
        <v>#REF!</v>
      </c>
      <c r="X362" s="637">
        <f>N362*$AX$6*AT$16</f>
        <v>0</v>
      </c>
      <c r="Y362" s="640" t="e">
        <f>$AX$6*(1-AU$15)*((1+HLOOKUP($A$356,FC_Premissas!$D$5:$W$16,14,FALSE))^0.0833-1)*N362*12</f>
        <v>#REF!</v>
      </c>
      <c r="Z362" s="638">
        <f t="shared" si="132"/>
        <v>0</v>
      </c>
      <c r="AA362" s="669" t="e">
        <f t="shared" si="132"/>
        <v>#REF!</v>
      </c>
      <c r="AB362" s="641"/>
    </row>
    <row r="363" spans="1:28" x14ac:dyDescent="0.2">
      <c r="A363" s="984"/>
      <c r="B363" s="633">
        <v>5</v>
      </c>
      <c r="C363" s="634">
        <f>IF(A356&lt;=$F$3,L337,0)</f>
        <v>0</v>
      </c>
      <c r="D363" s="598">
        <f>IF(A356&lt;=$F$3,M337,0)</f>
        <v>0</v>
      </c>
      <c r="E363" s="598">
        <f>IF(A356&lt;=$F$3,N337,0)</f>
        <v>0</v>
      </c>
      <c r="F363" s="634"/>
      <c r="G363" s="598"/>
      <c r="H363" s="677"/>
      <c r="I363" s="598"/>
      <c r="J363" s="598"/>
      <c r="K363" s="676"/>
      <c r="L363" s="634">
        <f>IF(A356&lt;=$F$3,C363+F363-I363,0)</f>
        <v>0</v>
      </c>
      <c r="M363" s="598">
        <f>IF(A356&lt;=$F$3,D363+G363-J363,0)</f>
        <v>0</v>
      </c>
      <c r="N363" s="598">
        <f>IF(A356&lt;=$F$3,E363+H363-K363,0)</f>
        <v>0</v>
      </c>
      <c r="O363" s="635">
        <f>IF(A356&lt;=$F$3,F363*Q363+G363*R363+H363*S363,0)</f>
        <v>0</v>
      </c>
      <c r="P363" s="636">
        <f>IF(A356&lt;=$F$3,I363*Q363+J363*R363+K363*S363,0)</f>
        <v>0</v>
      </c>
      <c r="Q363" s="637">
        <f t="shared" si="131"/>
        <v>181536.36363636365</v>
      </c>
      <c r="R363" s="638">
        <f t="shared" si="131"/>
        <v>250869.20727272728</v>
      </c>
      <c r="S363" s="639">
        <f t="shared" si="131"/>
        <v>264480.11636363639</v>
      </c>
      <c r="T363" s="637">
        <f>L363*$AH$6*AD$17</f>
        <v>0</v>
      </c>
      <c r="U363" s="640" t="e">
        <f>$AH$6*(1-AE$16)*((1+HLOOKUP($A$356,FC_Premissas!$D$5:$W$16,14,FALSE)^0.0833-1))*L363*12</f>
        <v>#REF!</v>
      </c>
      <c r="V363" s="638">
        <f>M363*$AP$6*AL$17</f>
        <v>0</v>
      </c>
      <c r="W363" s="669" t="e">
        <f>$AP$6*(1-AM$16)*((1+HLOOKUP($A$356,FC_Premissas!$D$5:$W$16,14,FALSE))^0.0833-1)*M363*12</f>
        <v>#REF!</v>
      </c>
      <c r="X363" s="637">
        <f>N363*$AX$6*AT$17</f>
        <v>0</v>
      </c>
      <c r="Y363" s="640" t="e">
        <f>$AX$6*(1-AU$16)*((1+HLOOKUP($A$356,FC_Premissas!$D$5:$W$16,14,FALSE))^0.0833-1)*N363*12</f>
        <v>#REF!</v>
      </c>
      <c r="Z363" s="638">
        <f t="shared" si="132"/>
        <v>0</v>
      </c>
      <c r="AA363" s="669" t="e">
        <f t="shared" si="132"/>
        <v>#REF!</v>
      </c>
      <c r="AB363" s="641"/>
    </row>
    <row r="364" spans="1:28" x14ac:dyDescent="0.2">
      <c r="A364" s="984"/>
      <c r="B364" s="633">
        <v>6</v>
      </c>
      <c r="C364" s="634">
        <f>IF(A356&lt;=$F$3,L338,0)</f>
        <v>0</v>
      </c>
      <c r="D364" s="598">
        <f>IF(A356&lt;=$F$3,M338,0)</f>
        <v>0</v>
      </c>
      <c r="E364" s="598">
        <f>IF(A356&lt;=$F$3,N338,0)</f>
        <v>4</v>
      </c>
      <c r="F364" s="634"/>
      <c r="G364" s="598"/>
      <c r="H364" s="650"/>
      <c r="I364" s="598"/>
      <c r="J364" s="598"/>
      <c r="K364" s="676"/>
      <c r="L364" s="634">
        <f>IF(A356&lt;=$F$3,C364+F364-I364,0)</f>
        <v>0</v>
      </c>
      <c r="M364" s="598">
        <f>IF(A356&lt;=$F$3,D364+G364-J364,0)</f>
        <v>0</v>
      </c>
      <c r="N364" s="598">
        <f>IF(A356&lt;=$F$3,E364+H364-K364,0)</f>
        <v>4</v>
      </c>
      <c r="O364" s="635">
        <f>IF(A356&lt;=$F$3,F364*Q364+G364*R364+H364*S364,0)</f>
        <v>0</v>
      </c>
      <c r="P364" s="636">
        <f>IF(A356&lt;=$F$3,I364*Q364+J364*R364+K364*S364,0)</f>
        <v>0</v>
      </c>
      <c r="Q364" s="637">
        <f t="shared" si="131"/>
        <v>138540.90909090912</v>
      </c>
      <c r="R364" s="638">
        <f t="shared" si="131"/>
        <v>194252.85818181818</v>
      </c>
      <c r="S364" s="639">
        <f t="shared" si="131"/>
        <v>204640.13090909092</v>
      </c>
      <c r="T364" s="637">
        <f>L364*$AH$6*AD$18</f>
        <v>0</v>
      </c>
      <c r="U364" s="640" t="e">
        <f>$AH$6*(1-AE$17)*((1+HLOOKUP($A$356,FC_Premissas!$D$5:$W$16,14,FALSE)^0.0833-1))*L364*12</f>
        <v>#REF!</v>
      </c>
      <c r="V364" s="638">
        <f>M364*$AP$6*AL$18</f>
        <v>0</v>
      </c>
      <c r="W364" s="669" t="e">
        <f>$AP$6*(1-AM$17)*((1+HLOOKUP($A$356,FC_Premissas!$D$5:$W$16,14,FALSE))^0.0833-1)*M364*12</f>
        <v>#REF!</v>
      </c>
      <c r="X364" s="637">
        <f>N364*$AX$6*AT$18</f>
        <v>191487.95345454547</v>
      </c>
      <c r="Y364" s="640" t="e">
        <f>$AX$6*(1-AU$17)*((1+HLOOKUP($A$356,FC_Premissas!$D$5:$W$16,14,FALSE))^0.0833-1)*N364*12</f>
        <v>#REF!</v>
      </c>
      <c r="Z364" s="638">
        <f t="shared" si="132"/>
        <v>191487.95345454547</v>
      </c>
      <c r="AA364" s="669" t="e">
        <f t="shared" si="132"/>
        <v>#REF!</v>
      </c>
      <c r="AB364" s="641"/>
    </row>
    <row r="365" spans="1:28" x14ac:dyDescent="0.2">
      <c r="A365" s="984"/>
      <c r="B365" s="633">
        <v>7</v>
      </c>
      <c r="C365" s="634">
        <f>IF(A356&lt;=$F$3,L339,0)</f>
        <v>0</v>
      </c>
      <c r="D365" s="598">
        <f>IF(A356&lt;=$F$3,M339,0)</f>
        <v>0</v>
      </c>
      <c r="E365" s="598">
        <f>IF(A356&lt;=$F$3,N339,0)</f>
        <v>1</v>
      </c>
      <c r="F365" s="634"/>
      <c r="G365" s="598"/>
      <c r="H365" s="650"/>
      <c r="I365" s="598"/>
      <c r="J365" s="598"/>
      <c r="K365" s="676"/>
      <c r="L365" s="634">
        <f>IF(A356&lt;=$F$3,C365+F365-I365,0)</f>
        <v>0</v>
      </c>
      <c r="M365" s="598">
        <f>IF(A356&lt;=$F$3,D365+G365-J365,0)</f>
        <v>0</v>
      </c>
      <c r="N365" s="598">
        <f>IF(A356&lt;=$F$3,E365+H365-K365,0)</f>
        <v>1</v>
      </c>
      <c r="O365" s="635">
        <f>IF(A356&lt;=$F$3,F365*Q365+G365*R365+H365*S365,0)</f>
        <v>0</v>
      </c>
      <c r="P365" s="636">
        <f>IF(A356&lt;=$F$3,I365*Q365+J365*R365+K365*S365,0)</f>
        <v>0</v>
      </c>
      <c r="Q365" s="637">
        <f t="shared" si="131"/>
        <v>104144.54545454548</v>
      </c>
      <c r="R365" s="638">
        <f t="shared" si="131"/>
        <v>148959.77890909094</v>
      </c>
      <c r="S365" s="639">
        <f t="shared" si="131"/>
        <v>156768.14254545458</v>
      </c>
      <c r="T365" s="637">
        <f>L365*$AH$6*AD$19</f>
        <v>0</v>
      </c>
      <c r="U365" s="640" t="e">
        <f>$AH$6*(1-AE$18)*((1+HLOOKUP($A$356,FC_Premissas!$D$5:$W$16,14,FALSE)^0.0833-1))*L365*12</f>
        <v>#REF!</v>
      </c>
      <c r="V365" s="638">
        <f>M365*$AP$6*AL$19</f>
        <v>0</v>
      </c>
      <c r="W365" s="669" t="e">
        <f>$AP$6*(1-AM$18)*((1+HLOOKUP($A$356,FC_Premissas!$D$5:$W$16,14,FALSE))^0.0833-1)*M365*12</f>
        <v>#REF!</v>
      </c>
      <c r="X365" s="637">
        <f>N365*$AX$6*AT$19</f>
        <v>35903.991272727275</v>
      </c>
      <c r="Y365" s="640" t="e">
        <f>$AX$6*(1-AU$18)*((1+HLOOKUP($A$356,FC_Premissas!$D$5:$W$16,14,FALSE))^0.0833-1)*N365*12</f>
        <v>#REF!</v>
      </c>
      <c r="Z365" s="638">
        <f t="shared" si="132"/>
        <v>35903.991272727275</v>
      </c>
      <c r="AA365" s="669" t="e">
        <f t="shared" si="132"/>
        <v>#REF!</v>
      </c>
      <c r="AB365" s="641"/>
    </row>
    <row r="366" spans="1:28" x14ac:dyDescent="0.2">
      <c r="A366" s="984"/>
      <c r="B366" s="633">
        <v>8</v>
      </c>
      <c r="C366" s="634">
        <f>IF(A356&lt;=$F$3,L340,0)</f>
        <v>0</v>
      </c>
      <c r="D366" s="598">
        <f>IF(A356&lt;=$F$3,M340,0)</f>
        <v>0</v>
      </c>
      <c r="E366" s="598">
        <f>IF(A356&lt;=$F$3,N340,0)</f>
        <v>1</v>
      </c>
      <c r="F366" s="634"/>
      <c r="G366" s="598"/>
      <c r="H366" s="650"/>
      <c r="I366" s="598"/>
      <c r="J366" s="598"/>
      <c r="K366" s="676"/>
      <c r="L366" s="634">
        <f>IF(A356&lt;=$F$3,C366+F366-I366,0)</f>
        <v>0</v>
      </c>
      <c r="M366" s="598">
        <f>IF(A356&lt;=$F$3,D366+G366-J366,0)</f>
        <v>0</v>
      </c>
      <c r="N366" s="598">
        <f>IF(A356&lt;=$F$3,E366+H366-K366,0)</f>
        <v>1</v>
      </c>
      <c r="O366" s="635">
        <f>IF(A356&lt;=$F$3,F366*Q366+G366*R366+H366*S366,0)</f>
        <v>0</v>
      </c>
      <c r="P366" s="636">
        <f>IF(A356&lt;=$F$3,I366*Q366+J366*R366+K366*S366,0)</f>
        <v>0</v>
      </c>
      <c r="Q366" s="637">
        <f t="shared" si="131"/>
        <v>78347.272727272764</v>
      </c>
      <c r="R366" s="638">
        <f t="shared" si="131"/>
        <v>114989.9694545455</v>
      </c>
      <c r="S366" s="639">
        <f t="shared" si="131"/>
        <v>120864.15127272732</v>
      </c>
      <c r="T366" s="637">
        <f>L366*$AH$6*AD$20</f>
        <v>0</v>
      </c>
      <c r="U366" s="640" t="e">
        <f>$AH$6*(1-AE$19)*((1+HLOOKUP($A$356,FC_Premissas!$D$5:$W$16,14,FALSE)^0.0833-1))*L366*12</f>
        <v>#REF!</v>
      </c>
      <c r="V366" s="638">
        <f>M366*$AP$6*AL$20</f>
        <v>0</v>
      </c>
      <c r="W366" s="669" t="e">
        <f>$AP$6*(1-AM$19)*((1+HLOOKUP($A$356,FC_Premissas!$D$5:$W$16,14,FALSE))^0.0833-1)*M366*12</f>
        <v>#REF!</v>
      </c>
      <c r="X366" s="637">
        <f>N366*$AX$6*AT$20</f>
        <v>23935.994181818183</v>
      </c>
      <c r="Y366" s="640" t="e">
        <f>$AX$6*(1-AU$19)*((1+HLOOKUP($A$356,FC_Premissas!$D$5:$W$16,14,FALSE))^0.0833-1)*N366*12</f>
        <v>#REF!</v>
      </c>
      <c r="Z366" s="638">
        <f t="shared" si="132"/>
        <v>23935.994181818183</v>
      </c>
      <c r="AA366" s="669" t="e">
        <f t="shared" si="132"/>
        <v>#REF!</v>
      </c>
      <c r="AB366" s="641"/>
    </row>
    <row r="367" spans="1:28" x14ac:dyDescent="0.2">
      <c r="A367" s="984"/>
      <c r="B367" s="633">
        <v>9</v>
      </c>
      <c r="C367" s="634">
        <f>IF(A356&lt;=$F$3,L341,0)</f>
        <v>0</v>
      </c>
      <c r="D367" s="598">
        <f>IF(A356&lt;=$F$3,M341,0)</f>
        <v>0</v>
      </c>
      <c r="E367" s="598">
        <f>IF(A356&lt;=$F$3,N341,0)</f>
        <v>3</v>
      </c>
      <c r="F367" s="634"/>
      <c r="G367" s="598"/>
      <c r="H367" s="650"/>
      <c r="I367" s="598"/>
      <c r="J367" s="598"/>
      <c r="K367" s="676"/>
      <c r="L367" s="634">
        <f>IF(A356&lt;=$F$3,C367+F367-I367,0)</f>
        <v>0</v>
      </c>
      <c r="M367" s="598">
        <f>IF(A356&lt;=$F$3,D367+G367-J367,0)</f>
        <v>0</v>
      </c>
      <c r="N367" s="598">
        <f>IF(A356&lt;=$F$3,E367+H367-K367,0)</f>
        <v>3</v>
      </c>
      <c r="O367" s="635">
        <f>IF(A356&lt;=$F$3,F367*Q367+G367*R367+H367*S367,0)</f>
        <v>0</v>
      </c>
      <c r="P367" s="636">
        <f>IF(A356&lt;=$F$3,I367*Q367+J367*R367+K367*S367,0)</f>
        <v>0</v>
      </c>
      <c r="Q367" s="637">
        <f t="shared" si="131"/>
        <v>61149.090909090955</v>
      </c>
      <c r="R367" s="638">
        <f t="shared" si="131"/>
        <v>92343.429818181874</v>
      </c>
      <c r="S367" s="639">
        <f t="shared" si="131"/>
        <v>96928.157090909139</v>
      </c>
      <c r="T367" s="637">
        <f>L367*$AH$6*AD$21</f>
        <v>0</v>
      </c>
      <c r="U367" s="640" t="e">
        <f>$AH$6*(1-AE$20)*((1+HLOOKUP($A$356,FC_Premissas!$D$5:$W$16,14,FALSE)^0.0833-1))*L367*12</f>
        <v>#REF!</v>
      </c>
      <c r="V367" s="638">
        <f>M367*$AP$6*AL$21</f>
        <v>0</v>
      </c>
      <c r="W367" s="669" t="e">
        <f>$AP$6*(1-AM$20)*((1+HLOOKUP($A$356,FC_Premissas!$D$5:$W$16,14,FALSE))^0.0833-1)*M367*12</f>
        <v>#REF!</v>
      </c>
      <c r="X367" s="637">
        <f>N367*$AX$6*AT$21</f>
        <v>35903.991272727275</v>
      </c>
      <c r="Y367" s="640" t="e">
        <f>$AX$6*(1-AU$20)*((1+HLOOKUP($A$356,FC_Premissas!$D$5:$W$16,14,FALSE))^0.0833-1)*N367*12</f>
        <v>#REF!</v>
      </c>
      <c r="Z367" s="638">
        <f t="shared" si="132"/>
        <v>35903.991272727275</v>
      </c>
      <c r="AA367" s="669" t="e">
        <f t="shared" si="132"/>
        <v>#REF!</v>
      </c>
      <c r="AB367" s="641"/>
    </row>
    <row r="368" spans="1:28" x14ac:dyDescent="0.2">
      <c r="A368" s="984"/>
      <c r="B368" s="633">
        <v>10</v>
      </c>
      <c r="C368" s="634">
        <f>IF(A356&lt;=$F$3,L342,0)</f>
        <v>0</v>
      </c>
      <c r="D368" s="598">
        <f>IF(A356&lt;=$F$3,M342,0)</f>
        <v>0</v>
      </c>
      <c r="E368" s="598">
        <f>IF(A356&lt;=$F$3,N342,0)</f>
        <v>0</v>
      </c>
      <c r="F368" s="634"/>
      <c r="G368" s="598"/>
      <c r="H368" s="650"/>
      <c r="I368" s="598"/>
      <c r="J368" s="598"/>
      <c r="K368" s="676"/>
      <c r="L368" s="634">
        <f>IF(A356&lt;=$F$3,C368+F368-I368,0)</f>
        <v>0</v>
      </c>
      <c r="M368" s="598">
        <f>IF(A356&lt;=$F$3,D368+G368-J368,0)</f>
        <v>0</v>
      </c>
      <c r="N368" s="598">
        <f>IF(A356&lt;=$F$3,E368+H368-K368,0)</f>
        <v>0</v>
      </c>
      <c r="O368" s="635">
        <f>IF(A356&lt;=$F$3,F368*Q368+G368*R368+H368*S368,0)</f>
        <v>0</v>
      </c>
      <c r="P368" s="636">
        <f>IF(A356&lt;=$F$3,I368*Q368+J368*R368+K368*S368,0)</f>
        <v>0</v>
      </c>
      <c r="Q368" s="637">
        <f t="shared" si="131"/>
        <v>52550.000000000044</v>
      </c>
      <c r="R368" s="638">
        <f t="shared" si="131"/>
        <v>81020.160000000062</v>
      </c>
      <c r="S368" s="639">
        <f t="shared" si="131"/>
        <v>84960.160000000062</v>
      </c>
      <c r="T368" s="637">
        <f>L368*$AH$6*AD$22</f>
        <v>0</v>
      </c>
      <c r="U368" s="640" t="e">
        <f>$AH$6*(1-AE$21)*((1+HLOOKUP($A$356,FC_Premissas!$D$5:$W$16,14,FALSE)^0.0833-1))*L368*12</f>
        <v>#REF!</v>
      </c>
      <c r="V368" s="638">
        <f>M368*$AP$6*AL$22</f>
        <v>0</v>
      </c>
      <c r="W368" s="669" t="e">
        <f>$AP$6*(1-AM$21)*((1+HLOOKUP($A$356,FC_Premissas!$D$5:$W$16,14,FALSE))^0.0833-1)*M368*12</f>
        <v>#REF!</v>
      </c>
      <c r="X368" s="637">
        <f>N368*$AX$6*AT$22</f>
        <v>0</v>
      </c>
      <c r="Y368" s="640" t="e">
        <f>$AX$6*(1-AU$21)*((1+HLOOKUP($A$356,FC_Premissas!$D$5:$W$16,14,FALSE))^0.0833-1)*N368*12</f>
        <v>#REF!</v>
      </c>
      <c r="Z368" s="638">
        <f t="shared" si="132"/>
        <v>0</v>
      </c>
      <c r="AA368" s="669" t="e">
        <f t="shared" si="132"/>
        <v>#REF!</v>
      </c>
      <c r="AB368" s="641"/>
    </row>
    <row r="369" spans="1:28" x14ac:dyDescent="0.2">
      <c r="A369" s="984"/>
      <c r="B369" s="633">
        <v>11</v>
      </c>
      <c r="C369" s="634">
        <f>IF(A356&lt;=$F$3,L343,0)</f>
        <v>0</v>
      </c>
      <c r="D369" s="598">
        <f>IF(A356&lt;=$F$3,M343,0)</f>
        <v>0</v>
      </c>
      <c r="E369" s="598">
        <f>IF(A356&lt;=$F$3,N343,0)</f>
        <v>2</v>
      </c>
      <c r="F369" s="634"/>
      <c r="G369" s="598"/>
      <c r="H369" s="650"/>
      <c r="I369" s="598"/>
      <c r="J369" s="598"/>
      <c r="K369" s="676"/>
      <c r="L369" s="634">
        <f>IF(A356&lt;=$F$3,C369+F369-I369,0)</f>
        <v>0</v>
      </c>
      <c r="M369" s="598">
        <f>IF(A356&lt;=$F$3,D369+G369-J369,0)</f>
        <v>0</v>
      </c>
      <c r="N369" s="598">
        <f>IF(A356&lt;=$F$3,E369+H369-K369,0)</f>
        <v>2</v>
      </c>
      <c r="O369" s="635">
        <f>IF(A356&lt;=$F$3,F369*Q369+G369*R369+H369*S369,0)</f>
        <v>0</v>
      </c>
      <c r="P369" s="636">
        <f>IF(A356&lt;=$F$3,I369*Q369+J369*R369+K369*S369,0)</f>
        <v>0</v>
      </c>
      <c r="Q369" s="637">
        <f t="shared" si="131"/>
        <v>52550.000000000044</v>
      </c>
      <c r="R369" s="638">
        <f t="shared" si="131"/>
        <v>81020.160000000062</v>
      </c>
      <c r="S369" s="639">
        <f t="shared" si="131"/>
        <v>84960.160000000062</v>
      </c>
      <c r="T369" s="637">
        <f>L369*$AH$6*AD$23</f>
        <v>0</v>
      </c>
      <c r="U369" s="640" t="e">
        <f>$AH$6*(1-AE$22)*((1+HLOOKUP($A$356,FC_Premissas!$D$5:$W$16,14,FALSE)^0.0833-1))*L369*12</f>
        <v>#REF!</v>
      </c>
      <c r="V369" s="638">
        <f>M369*$AP$6*AL$23</f>
        <v>0</v>
      </c>
      <c r="W369" s="669" t="e">
        <f>$AP$6*(1-AM$22)*((1+HLOOKUP($A$356,FC_Premissas!$D$5:$W$16,14,FALSE))^0.0833-1)*M369*12</f>
        <v>#REF!</v>
      </c>
      <c r="X369" s="637">
        <f>N369*$AX$6*AT$23</f>
        <v>0</v>
      </c>
      <c r="Y369" s="640" t="e">
        <f>$AX$6*(1-AU$22)*((1+HLOOKUP($A$356,FC_Premissas!$D$5:$W$16,14,FALSE))^0.0833-1)*N369*12</f>
        <v>#REF!</v>
      </c>
      <c r="Z369" s="638">
        <f t="shared" si="132"/>
        <v>0</v>
      </c>
      <c r="AA369" s="669" t="e">
        <f t="shared" si="132"/>
        <v>#REF!</v>
      </c>
      <c r="AB369" s="641"/>
    </row>
    <row r="370" spans="1:28" x14ac:dyDescent="0.2">
      <c r="A370" s="984"/>
      <c r="B370" s="633">
        <v>12</v>
      </c>
      <c r="C370" s="634">
        <f>IF(A356&lt;=$F$3,L344,0)</f>
        <v>0</v>
      </c>
      <c r="D370" s="598">
        <f>IF(A356&lt;=$F$3,M344,0)</f>
        <v>0</v>
      </c>
      <c r="E370" s="598">
        <f>IF(A356&lt;=$F$3,N344,0)</f>
        <v>0</v>
      </c>
      <c r="F370" s="634"/>
      <c r="G370" s="598"/>
      <c r="H370" s="650"/>
      <c r="I370" s="598"/>
      <c r="J370" s="598"/>
      <c r="K370" s="676"/>
      <c r="L370" s="634">
        <f>IF(A356&lt;=$F$3,C370+F370-I370,0)</f>
        <v>0</v>
      </c>
      <c r="M370" s="598">
        <f>IF(A356&lt;=$F$3,D370+G370-J370,0)</f>
        <v>0</v>
      </c>
      <c r="N370" s="598">
        <f>IF(A356&lt;=$F$3,E370+H370-K370,0)</f>
        <v>0</v>
      </c>
      <c r="O370" s="635">
        <f>IF(A356&lt;=$F$3,F370*Q370+G370*R370+H370*S370,0)</f>
        <v>0</v>
      </c>
      <c r="P370" s="636">
        <f>IF(A356&lt;=$F$3,I370*Q370+J370*R370+K370*S370,0)</f>
        <v>0</v>
      </c>
      <c r="Q370" s="637">
        <f t="shared" si="131"/>
        <v>52550.000000000044</v>
      </c>
      <c r="R370" s="638">
        <f t="shared" si="131"/>
        <v>81020.160000000062</v>
      </c>
      <c r="S370" s="639">
        <f t="shared" si="131"/>
        <v>84960.160000000062</v>
      </c>
      <c r="T370" s="637">
        <f>L370*$AH$6*AD$24</f>
        <v>0</v>
      </c>
      <c r="U370" s="640" t="e">
        <f>$AH$6*(1-AE$23)*((1+HLOOKUP($A$356,FC_Premissas!$D$5:$W$16,14,FALSE)^0.0833-1))*L370*12</f>
        <v>#REF!</v>
      </c>
      <c r="V370" s="638">
        <f>M370*$AP$6*AL$24</f>
        <v>0</v>
      </c>
      <c r="W370" s="669" t="e">
        <f>$AP$6*(1-AM$23)*((1+HLOOKUP($A$356,FC_Premissas!$D$5:$W$16,14,FALSE))^0.0833-1)*M370*12</f>
        <v>#REF!</v>
      </c>
      <c r="X370" s="637">
        <f>N370*$AX$6*AT$24</f>
        <v>0</v>
      </c>
      <c r="Y370" s="640" t="e">
        <f>$AX$6*(1-AU$23)*((1+HLOOKUP($A$356,FC_Premissas!$D$5:$W$16,14,FALSE))^0.0833-1)*N370*12</f>
        <v>#REF!</v>
      </c>
      <c r="Z370" s="638">
        <f t="shared" si="132"/>
        <v>0</v>
      </c>
      <c r="AA370" s="669" t="e">
        <f t="shared" si="132"/>
        <v>#REF!</v>
      </c>
      <c r="AB370" s="641"/>
    </row>
    <row r="371" spans="1:28" ht="11.25" customHeight="1" x14ac:dyDescent="0.2">
      <c r="A371" s="984"/>
      <c r="B371" s="633">
        <v>13</v>
      </c>
      <c r="C371" s="634">
        <f>IF(A356&lt;=$F$3,L345,0)</f>
        <v>0</v>
      </c>
      <c r="D371" s="598">
        <f>IF(A356&lt;=$F$3,M345,0)</f>
        <v>0</v>
      </c>
      <c r="E371" s="650">
        <f>IF(A356&lt;=$F$3,N345,0)</f>
        <v>0</v>
      </c>
      <c r="F371" s="634"/>
      <c r="G371" s="598"/>
      <c r="H371" s="598"/>
      <c r="I371" s="634"/>
      <c r="J371" s="598"/>
      <c r="K371" s="676"/>
      <c r="L371" s="634">
        <f>IF(A356&lt;=$F$3,C371+F371-I371,0)</f>
        <v>0</v>
      </c>
      <c r="M371" s="598">
        <f>IF(A356&lt;=$F$3,D371+G371-J371,0)</f>
        <v>0</v>
      </c>
      <c r="N371" s="598">
        <f>IF(A356&lt;=$F$3,E371+H371-K371,0)</f>
        <v>0</v>
      </c>
      <c r="O371" s="635">
        <f>IF(A356&lt;=$F$3,F371*Q371+G371*R371+H371*S371,0)</f>
        <v>0</v>
      </c>
      <c r="P371" s="636">
        <f>IF(A356&lt;=$F$3,I371*Q371+J371*R371+K371*S371,0)</f>
        <v>0</v>
      </c>
      <c r="Q371" s="637">
        <f t="shared" si="131"/>
        <v>52550.000000000044</v>
      </c>
      <c r="R371" s="638">
        <f t="shared" si="131"/>
        <v>81020.160000000062</v>
      </c>
      <c r="S371" s="639">
        <f t="shared" si="131"/>
        <v>84960.160000000062</v>
      </c>
      <c r="T371" s="637">
        <f>L371*$AH$6*AD$25</f>
        <v>0</v>
      </c>
      <c r="U371" s="640" t="e">
        <f>$AH$6*(1-AE$24)*((1+HLOOKUP($A$356,FC_Premissas!$D$5:$W$16,14,FALSE)^0.0833-1))*L371*12</f>
        <v>#REF!</v>
      </c>
      <c r="V371" s="638">
        <f>M371*$AP$6*AL$25</f>
        <v>0</v>
      </c>
      <c r="W371" s="669" t="e">
        <f>$AP$6*(1-AM$24)*((1+HLOOKUP($A$356,FC_Premissas!$D$5:$W$16,14,FALSE))^0.0833-1)*M371*12</f>
        <v>#REF!</v>
      </c>
      <c r="X371" s="637">
        <f>N371*$AX$6*AT$25</f>
        <v>0</v>
      </c>
      <c r="Y371" s="640" t="e">
        <f>$AX$6*(1-AU$24)*((1+HLOOKUP($A$356,FC_Premissas!$D$5:$W$16,14,FALSE))^0.0833-1)*N371*12</f>
        <v>#REF!</v>
      </c>
      <c r="Z371" s="638">
        <f t="shared" si="132"/>
        <v>0</v>
      </c>
      <c r="AA371" s="669" t="e">
        <f t="shared" si="132"/>
        <v>#REF!</v>
      </c>
      <c r="AB371" s="641"/>
    </row>
    <row r="372" spans="1:28" ht="11.25" customHeight="1" x14ac:dyDescent="0.2">
      <c r="A372" s="984"/>
      <c r="B372" s="633">
        <v>14</v>
      </c>
      <c r="C372" s="634">
        <f>IF(A356&lt;=$F$3,L346,0)</f>
        <v>0</v>
      </c>
      <c r="D372" s="598">
        <f>IF(A356&lt;=$F$3,M346,0)</f>
        <v>0</v>
      </c>
      <c r="E372" s="650">
        <f>IF(A356&lt;=$F$3,N346,0)</f>
        <v>0</v>
      </c>
      <c r="F372" s="634"/>
      <c r="G372" s="598"/>
      <c r="H372" s="598"/>
      <c r="I372" s="634"/>
      <c r="J372" s="598"/>
      <c r="K372" s="598"/>
      <c r="L372" s="634">
        <f>IF(A356&lt;=$F$3,C372+F372-I372,0)</f>
        <v>0</v>
      </c>
      <c r="M372" s="598">
        <f>IF(A356&lt;=$F$3,D372+G372-J372,0)</f>
        <v>0</v>
      </c>
      <c r="N372" s="598">
        <f>IF(A356&lt;=$F$3,E372+H372-K372,0)</f>
        <v>0</v>
      </c>
      <c r="O372" s="635">
        <f>IF(A356&lt;=$F$3,F372*Q372+G372*R372+H372*S372,0)</f>
        <v>0</v>
      </c>
      <c r="P372" s="636">
        <f>IF(A356&lt;=$F$3,I372*Q372+J372*R372+K372*S372,0)</f>
        <v>0</v>
      </c>
      <c r="Q372" s="637">
        <f t="shared" si="131"/>
        <v>52550.000000000044</v>
      </c>
      <c r="R372" s="638">
        <f t="shared" si="131"/>
        <v>81020.160000000062</v>
      </c>
      <c r="S372" s="639">
        <f t="shared" si="131"/>
        <v>84960.160000000062</v>
      </c>
      <c r="T372" s="637">
        <f>L372*$AH$6*AD$26</f>
        <v>0</v>
      </c>
      <c r="U372" s="640" t="e">
        <f>$AH$6*(1-AE$25)*((1+HLOOKUP($A$356,FC_Premissas!$D$5:$W$16,14,FALSE)^0.0833-1))*L372*12</f>
        <v>#REF!</v>
      </c>
      <c r="V372" s="638">
        <f>M372*$AP$6*AL$26</f>
        <v>0</v>
      </c>
      <c r="W372" s="669" t="e">
        <f>$AP$6*(1-AM$25)*((1+HLOOKUP($A$356,FC_Premissas!$D$5:$W$16,14,FALSE))^0.0833-1)*M372*12</f>
        <v>#REF!</v>
      </c>
      <c r="X372" s="637">
        <f>N372*$AX$6*AT$26</f>
        <v>0</v>
      </c>
      <c r="Y372" s="640" t="e">
        <f>$AX$6*(1-AU$25)*((1+HLOOKUP($A$356,FC_Premissas!$D$5:$W$16,14,FALSE))^0.0833-1)*N372*12</f>
        <v>#REF!</v>
      </c>
      <c r="Z372" s="638">
        <f t="shared" si="132"/>
        <v>0</v>
      </c>
      <c r="AA372" s="669" t="e">
        <f t="shared" si="132"/>
        <v>#REF!</v>
      </c>
      <c r="AB372" s="641"/>
    </row>
    <row r="373" spans="1:28" ht="11.25" customHeight="1" x14ac:dyDescent="0.2">
      <c r="A373" s="984"/>
      <c r="B373" s="633">
        <v>15</v>
      </c>
      <c r="C373" s="634">
        <f>IF(A356&lt;=$F$3,L347,0)</f>
        <v>0</v>
      </c>
      <c r="D373" s="598">
        <f>IF(A356&lt;=$F$3,M347,0)</f>
        <v>0</v>
      </c>
      <c r="E373" s="650">
        <f>IF(A356&lt;=$F$3,N347,0)</f>
        <v>0</v>
      </c>
      <c r="F373" s="634"/>
      <c r="G373" s="598"/>
      <c r="H373" s="598"/>
      <c r="I373" s="634"/>
      <c r="J373" s="598"/>
      <c r="K373" s="598"/>
      <c r="L373" s="634">
        <f>IF(A356&lt;=$F$3,C373+F373-I373,0)</f>
        <v>0</v>
      </c>
      <c r="M373" s="598">
        <f>IF(A356&lt;=$F$3,D373+G373-J373,0)</f>
        <v>0</v>
      </c>
      <c r="N373" s="598">
        <f>IF(A356&lt;=$F$3,E373+H373-K373,0)</f>
        <v>0</v>
      </c>
      <c r="O373" s="635">
        <f>IF(A356&lt;=$F$3,F373*Q373+G373*R373+H373*S373,0)</f>
        <v>0</v>
      </c>
      <c r="P373" s="636">
        <f>IF(A356&lt;=$F$3,I373*Q373+J373*R373+K373*S373,0)</f>
        <v>0</v>
      </c>
      <c r="Q373" s="637">
        <f t="shared" si="131"/>
        <v>52550.000000000044</v>
      </c>
      <c r="R373" s="638">
        <f t="shared" si="131"/>
        <v>81020.160000000062</v>
      </c>
      <c r="S373" s="639">
        <f t="shared" si="131"/>
        <v>84960.160000000062</v>
      </c>
      <c r="T373" s="637">
        <f t="shared" ref="T373:T378" si="133">L373*$AH$6*AD$27</f>
        <v>0</v>
      </c>
      <c r="U373" s="640" t="e">
        <f>$AH$6*(1-AE$26)*((1+HLOOKUP($A$356,FC_Premissas!$D$5:$W$16,14,FALSE)^0.0833-1))*L373*12</f>
        <v>#REF!</v>
      </c>
      <c r="V373" s="638">
        <f t="shared" ref="V373:V378" si="134">M373*$AP$6*AL$27</f>
        <v>0</v>
      </c>
      <c r="W373" s="669" t="e">
        <f>$AP$6*(1-AM$26)*((1+HLOOKUP($A$356,FC_Premissas!$D$5:$W$16,14,FALSE))^0.0833-1)*M373*12</f>
        <v>#REF!</v>
      </c>
      <c r="X373" s="637">
        <f t="shared" ref="X373:X378" si="135">N373*$AX$6*AT$27</f>
        <v>0</v>
      </c>
      <c r="Y373" s="640" t="e">
        <f>$AX$6*(1-AU$26)*((1+HLOOKUP($A$356,FC_Premissas!$D$5:$W$16,14,FALSE))^0.0833-1)*N373*12</f>
        <v>#REF!</v>
      </c>
      <c r="Z373" s="638">
        <f t="shared" si="132"/>
        <v>0</v>
      </c>
      <c r="AA373" s="640" t="e">
        <f t="shared" si="132"/>
        <v>#REF!</v>
      </c>
      <c r="AB373" s="641"/>
    </row>
    <row r="374" spans="1:28" x14ac:dyDescent="0.2">
      <c r="A374" s="984"/>
      <c r="B374" s="633">
        <v>16</v>
      </c>
      <c r="C374" s="634">
        <f>IF(A356&lt;=$F$3,L348,0)</f>
        <v>0</v>
      </c>
      <c r="D374" s="598">
        <f>IF(A356&lt;=$F$3,M348,0)</f>
        <v>0</v>
      </c>
      <c r="E374" s="650">
        <f>IF(A356&lt;=$F$3,N348,0)</f>
        <v>0</v>
      </c>
      <c r="F374" s="634"/>
      <c r="G374" s="598"/>
      <c r="H374" s="598"/>
      <c r="I374" s="634"/>
      <c r="J374" s="598"/>
      <c r="K374" s="598"/>
      <c r="L374" s="634">
        <f>IF(A356&lt;=$F$3,C374+F374-I374,0)</f>
        <v>0</v>
      </c>
      <c r="M374" s="598">
        <f>IF(A356&lt;=$F$3,D374+G374-J374,0)</f>
        <v>0</v>
      </c>
      <c r="N374" s="598">
        <f>IF(A356&lt;=$F$3,E374+H374-K374,0)</f>
        <v>0</v>
      </c>
      <c r="O374" s="635">
        <f>IF(A356&lt;=$F$3,F374*Q374+G374*R374+H374*S374,0)</f>
        <v>0</v>
      </c>
      <c r="P374" s="636">
        <f>IF(A356&lt;=$F$3,I374*Q374+J374*R374+K374*S374,0)</f>
        <v>0</v>
      </c>
      <c r="Q374" s="637">
        <f t="shared" ref="Q374:S378" si="136">Q349</f>
        <v>52550.000000000044</v>
      </c>
      <c r="R374" s="638">
        <f t="shared" si="136"/>
        <v>81020.160000000062</v>
      </c>
      <c r="S374" s="639">
        <f t="shared" si="136"/>
        <v>84960.160000000062</v>
      </c>
      <c r="T374" s="637">
        <f t="shared" si="133"/>
        <v>0</v>
      </c>
      <c r="U374" s="640" t="e">
        <f>$AH$6*(1-AE$27)*((1+HLOOKUP($A$356,FC_Premissas!$D$5:$W$16,14,FALSE)^0.0833-1))*L374*12</f>
        <v>#REF!</v>
      </c>
      <c r="V374" s="638">
        <f t="shared" si="134"/>
        <v>0</v>
      </c>
      <c r="W374" s="669" t="e">
        <f>$AP$6*(1-AM$27)*((1+HLOOKUP($A$356,FC_Premissas!$D$5:$W$16,14,FALSE))^0.0833-1)*M374*12</f>
        <v>#REF!</v>
      </c>
      <c r="X374" s="637">
        <f t="shared" si="135"/>
        <v>0</v>
      </c>
      <c r="Y374" s="640" t="e">
        <f>$AX$6*(1-AU$27)*((1+HLOOKUP($A$356,FC_Premissas!$D$5:$W$16,14,FALSE))^0.0833-1)*N374*12</f>
        <v>#REF!</v>
      </c>
      <c r="Z374" s="638">
        <f t="shared" si="132"/>
        <v>0</v>
      </c>
      <c r="AA374" s="640" t="e">
        <f t="shared" si="132"/>
        <v>#REF!</v>
      </c>
      <c r="AB374" s="641"/>
    </row>
    <row r="375" spans="1:28" x14ac:dyDescent="0.2">
      <c r="A375" s="984"/>
      <c r="B375" s="633">
        <v>17</v>
      </c>
      <c r="C375" s="634">
        <f>IF(A356&lt;=$F$3,L349,0)</f>
        <v>0</v>
      </c>
      <c r="D375" s="598">
        <f>IF(A356&lt;=$F$3,M349,0)</f>
        <v>0</v>
      </c>
      <c r="E375" s="650">
        <f>IF(A356&lt;=$F$3,N349,0)</f>
        <v>0</v>
      </c>
      <c r="F375" s="634"/>
      <c r="G375" s="598"/>
      <c r="H375" s="598"/>
      <c r="I375" s="634"/>
      <c r="J375" s="598"/>
      <c r="K375" s="598"/>
      <c r="L375" s="634">
        <f>IF(A356&lt;=$F$3,C375+F375-I375,0)</f>
        <v>0</v>
      </c>
      <c r="M375" s="598">
        <f>IF(A356&lt;=$F$3,D375+G375-J375,0)</f>
        <v>0</v>
      </c>
      <c r="N375" s="598">
        <f>IF(A356&lt;=$F$3,E375+H375-K375,0)</f>
        <v>0</v>
      </c>
      <c r="O375" s="635">
        <f>IF(A356&lt;=$F$3,F375*Q375+G375*R375+H375*S375,0)</f>
        <v>0</v>
      </c>
      <c r="P375" s="636">
        <f>IF(A356&lt;=$F$3,I375*Q375+J375*R375+K375*S375,0)</f>
        <v>0</v>
      </c>
      <c r="Q375" s="637">
        <f t="shared" si="136"/>
        <v>52550.000000000044</v>
      </c>
      <c r="R375" s="638">
        <f t="shared" si="136"/>
        <v>81020.160000000062</v>
      </c>
      <c r="S375" s="639">
        <f t="shared" si="136"/>
        <v>84960.160000000062</v>
      </c>
      <c r="T375" s="637">
        <f t="shared" si="133"/>
        <v>0</v>
      </c>
      <c r="U375" s="640" t="e">
        <f>$AH$6*(1-AE$28)*((1+HLOOKUP($A$356,FC_Premissas!$D$5:$W$16,14,FALSE)^0.0833-1))*L375*12</f>
        <v>#REF!</v>
      </c>
      <c r="V375" s="638">
        <f t="shared" si="134"/>
        <v>0</v>
      </c>
      <c r="W375" s="669" t="e">
        <f>$AP$6*(1-AM$28)*((1+HLOOKUP($A$356,FC_Premissas!$D$5:$W$16,14,FALSE))^0.0833-1)*M375*12</f>
        <v>#REF!</v>
      </c>
      <c r="X375" s="637">
        <f t="shared" si="135"/>
        <v>0</v>
      </c>
      <c r="Y375" s="640" t="e">
        <f>$AX$6*(1-AU$28)*((1+HLOOKUP($A$356,FC_Premissas!$D$5:$W$16,14,FALSE))^0.0833-1)*N375*12</f>
        <v>#REF!</v>
      </c>
      <c r="Z375" s="638">
        <f t="shared" si="132"/>
        <v>0</v>
      </c>
      <c r="AA375" s="640" t="e">
        <f t="shared" si="132"/>
        <v>#REF!</v>
      </c>
      <c r="AB375" s="641"/>
    </row>
    <row r="376" spans="1:28" x14ac:dyDescent="0.2">
      <c r="A376" s="984"/>
      <c r="B376" s="633">
        <v>18</v>
      </c>
      <c r="C376" s="634">
        <f>IF(A356&lt;=$F$3,L350,0)</f>
        <v>0</v>
      </c>
      <c r="D376" s="598">
        <f>IF(A356&lt;=$F$3,M350,0)</f>
        <v>0</v>
      </c>
      <c r="E376" s="650">
        <f>IF(A356&lt;=$F$3,N350,0)</f>
        <v>0</v>
      </c>
      <c r="F376" s="634"/>
      <c r="G376" s="598"/>
      <c r="H376" s="598"/>
      <c r="I376" s="634"/>
      <c r="J376" s="598"/>
      <c r="K376" s="598"/>
      <c r="L376" s="634">
        <f>IF(A356&lt;=$F$3,C376+F376-I376,0)</f>
        <v>0</v>
      </c>
      <c r="M376" s="598">
        <f>IF(A356&lt;=$F$3,D376+G376-J376,0)</f>
        <v>0</v>
      </c>
      <c r="N376" s="598">
        <f>IF(A356&lt;=$F$3,E376+H376-K376,0)</f>
        <v>0</v>
      </c>
      <c r="O376" s="635">
        <f>IF(A356&lt;=$F$3,F376*Q376+G376*R376+H376*S376,0)</f>
        <v>0</v>
      </c>
      <c r="P376" s="636">
        <f>IF(A356&lt;=$F$3,I376*Q376+J376*R376+K376*S376,0)</f>
        <v>0</v>
      </c>
      <c r="Q376" s="637">
        <f t="shared" si="136"/>
        <v>52550.000000000044</v>
      </c>
      <c r="R376" s="638">
        <f t="shared" si="136"/>
        <v>81020.160000000062</v>
      </c>
      <c r="S376" s="639">
        <f t="shared" si="136"/>
        <v>84960.160000000062</v>
      </c>
      <c r="T376" s="637">
        <f t="shared" si="133"/>
        <v>0</v>
      </c>
      <c r="U376" s="640" t="e">
        <f>$AH$6*(1-AE$29)*((1+HLOOKUP($A$356,FC_Premissas!$D$5:$W$16,14,FALSE)^0.0833-1))*L376*12</f>
        <v>#REF!</v>
      </c>
      <c r="V376" s="638">
        <f t="shared" si="134"/>
        <v>0</v>
      </c>
      <c r="W376" s="669" t="e">
        <f>$AP$6*(1-AM$29)*((1+HLOOKUP($A$356,FC_Premissas!$D$5:$W$16,14,FALSE))^0.0833-1)*M376*12</f>
        <v>#REF!</v>
      </c>
      <c r="X376" s="637">
        <f t="shared" si="135"/>
        <v>0</v>
      </c>
      <c r="Y376" s="640" t="e">
        <f>$AX$6*(1-AU$29)*((1+HLOOKUP($A$356,FC_Premissas!$D$5:$W$16,14,FALSE))^0.0833-1)*N376*12</f>
        <v>#REF!</v>
      </c>
      <c r="Z376" s="638">
        <f t="shared" si="132"/>
        <v>0</v>
      </c>
      <c r="AA376" s="640" t="e">
        <f t="shared" si="132"/>
        <v>#REF!</v>
      </c>
      <c r="AB376" s="641"/>
    </row>
    <row r="377" spans="1:28" x14ac:dyDescent="0.2">
      <c r="A377" s="984"/>
      <c r="B377" s="633">
        <v>19</v>
      </c>
      <c r="C377" s="634">
        <f>IF(A356&lt;=$F$3,L351,0)</f>
        <v>0</v>
      </c>
      <c r="D377" s="598">
        <f>IF(A356&lt;=$F$3,M351,0)</f>
        <v>0</v>
      </c>
      <c r="E377" s="650">
        <f>IF(A356&lt;=$F$3,N351,0)</f>
        <v>0</v>
      </c>
      <c r="F377" s="634"/>
      <c r="G377" s="598"/>
      <c r="H377" s="598"/>
      <c r="I377" s="634"/>
      <c r="J377" s="598"/>
      <c r="K377" s="598"/>
      <c r="L377" s="634">
        <f>IF(A356&lt;=$F$3,C377+F377-I377,0)</f>
        <v>0</v>
      </c>
      <c r="M377" s="598">
        <f>IF(A356&lt;=$F$3,D377+G377-J377,0)</f>
        <v>0</v>
      </c>
      <c r="N377" s="598">
        <f>IF(A356&lt;=$F$3,E377+H377-K377,0)</f>
        <v>0</v>
      </c>
      <c r="O377" s="635">
        <f>IF(A356&lt;=$F$3,F377*Q377+G377*R377+H377*S377,0)</f>
        <v>0</v>
      </c>
      <c r="P377" s="636">
        <f>IF(A356&lt;=$F$3,I377*Q377+J377*R377+K377*S377,0)</f>
        <v>0</v>
      </c>
      <c r="Q377" s="637">
        <f t="shared" si="136"/>
        <v>52550.000000000044</v>
      </c>
      <c r="R377" s="638">
        <f t="shared" si="136"/>
        <v>81020.160000000062</v>
      </c>
      <c r="S377" s="639">
        <f t="shared" si="136"/>
        <v>84960.160000000062</v>
      </c>
      <c r="T377" s="637">
        <f t="shared" si="133"/>
        <v>0</v>
      </c>
      <c r="U377" s="640" t="e">
        <f>$AH$6*(1-AE$30)*((1+HLOOKUP($A$356,FC_Premissas!$D$5:$W$16,14,FALSE)^0.0833-1))*L377*12</f>
        <v>#REF!</v>
      </c>
      <c r="V377" s="638">
        <f t="shared" si="134"/>
        <v>0</v>
      </c>
      <c r="W377" s="669" t="e">
        <f>$AP$6*(1-AM$30)*((1+HLOOKUP($A$356,FC_Premissas!$D$5:$W$16,14,FALSE))^0.0833-1)*M377*12</f>
        <v>#REF!</v>
      </c>
      <c r="X377" s="637">
        <f t="shared" si="135"/>
        <v>0</v>
      </c>
      <c r="Y377" s="640" t="e">
        <f>$AX$6*(1-AU$30)*((1+HLOOKUP($A$356,FC_Premissas!$D$5:$W$16,14,FALSE))^0.0833-1)*N377*12</f>
        <v>#REF!</v>
      </c>
      <c r="Z377" s="638">
        <f t="shared" si="132"/>
        <v>0</v>
      </c>
      <c r="AA377" s="640" t="e">
        <f t="shared" si="132"/>
        <v>#REF!</v>
      </c>
      <c r="AB377" s="641"/>
    </row>
    <row r="378" spans="1:28" x14ac:dyDescent="0.2">
      <c r="A378" s="984"/>
      <c r="B378" s="633">
        <v>20</v>
      </c>
      <c r="C378" s="616">
        <f>IF(A356&lt;=$F$3,L352,0)</f>
        <v>0</v>
      </c>
      <c r="D378" s="617">
        <f>IF(A356&lt;=$F$3,M352,0)</f>
        <v>0</v>
      </c>
      <c r="E378" s="650">
        <f>IF(A356&lt;=$F$3,N352,0)</f>
        <v>0</v>
      </c>
      <c r="F378" s="616"/>
      <c r="G378" s="617"/>
      <c r="H378" s="598"/>
      <c r="I378" s="616"/>
      <c r="J378" s="617"/>
      <c r="K378" s="598"/>
      <c r="L378" s="616">
        <f>IF(A356&lt;=$F$3,C378+F378-I378,0)</f>
        <v>0</v>
      </c>
      <c r="M378" s="617">
        <f>IF(A356&lt;=$F$3,D378+G378-J378,0)</f>
        <v>0</v>
      </c>
      <c r="N378" s="598">
        <f>IF(A356&lt;=$F$3,E378+H378-K378,0)</f>
        <v>0</v>
      </c>
      <c r="O378" s="635">
        <f>IF(A356&lt;=$F$3,F378*Q378+G378*R378+H378*S378,0)</f>
        <v>0</v>
      </c>
      <c r="P378" s="636">
        <f>IF(A356&lt;=$F$3,I378*Q378+J378*R378+K378*S378,0)</f>
        <v>0</v>
      </c>
      <c r="Q378" s="651">
        <f t="shared" si="136"/>
        <v>52550.000000000044</v>
      </c>
      <c r="R378" s="652">
        <f t="shared" si="136"/>
        <v>81020.160000000062</v>
      </c>
      <c r="S378" s="653">
        <f t="shared" si="136"/>
        <v>84960.160000000062</v>
      </c>
      <c r="T378" s="651">
        <f t="shared" si="133"/>
        <v>0</v>
      </c>
      <c r="U378" s="654" t="e">
        <f>$AH$6*(1-AE$31)*((1+HLOOKUP($A$356,FC_Premissas!$D$5:$W$16,14,FALSE)^0.0833-1))*L378*12</f>
        <v>#REF!</v>
      </c>
      <c r="V378" s="652">
        <f t="shared" si="134"/>
        <v>0</v>
      </c>
      <c r="W378" s="678" t="e">
        <f>$AP$6*(1-AM$31)*((1+HLOOKUP($A$356,FC_Premissas!$D$5:$W$16,14,FALSE))^0.0833-1)*M378*12</f>
        <v>#REF!</v>
      </c>
      <c r="X378" s="651">
        <f t="shared" si="135"/>
        <v>0</v>
      </c>
      <c r="Y378" s="654" t="e">
        <f>$AX$6*(1-AU$31)*((1+HLOOKUP($A$356,FC_Premissas!$D$5:$W$16,14,FALSE))^0.0833-1)*N378*12</f>
        <v>#REF!</v>
      </c>
      <c r="Z378" s="652">
        <f t="shared" si="132"/>
        <v>0</v>
      </c>
      <c r="AA378" s="654" t="e">
        <f t="shared" si="132"/>
        <v>#REF!</v>
      </c>
      <c r="AB378" s="641"/>
    </row>
    <row r="379" spans="1:28" x14ac:dyDescent="0.2">
      <c r="A379" s="984"/>
      <c r="B379" s="655" t="s">
        <v>1228</v>
      </c>
      <c r="C379" s="656">
        <f t="shared" ref="C379:P379" si="137">SUM(C358:C378)</f>
        <v>0</v>
      </c>
      <c r="D379" s="657">
        <f t="shared" si="137"/>
        <v>0</v>
      </c>
      <c r="E379" s="658">
        <f t="shared" si="137"/>
        <v>11</v>
      </c>
      <c r="F379" s="656">
        <f t="shared" si="137"/>
        <v>0</v>
      </c>
      <c r="G379" s="657">
        <f t="shared" si="137"/>
        <v>0</v>
      </c>
      <c r="H379" s="658">
        <f t="shared" si="137"/>
        <v>0</v>
      </c>
      <c r="I379" s="656">
        <f t="shared" si="137"/>
        <v>0</v>
      </c>
      <c r="J379" s="657">
        <f t="shared" si="137"/>
        <v>0</v>
      </c>
      <c r="K379" s="658">
        <f t="shared" si="137"/>
        <v>0</v>
      </c>
      <c r="L379" s="656">
        <f t="shared" si="137"/>
        <v>0</v>
      </c>
      <c r="M379" s="657">
        <f t="shared" si="137"/>
        <v>0</v>
      </c>
      <c r="N379" s="657">
        <f t="shared" si="137"/>
        <v>11</v>
      </c>
      <c r="O379" s="659">
        <f t="shared" si="137"/>
        <v>0</v>
      </c>
      <c r="P379" s="660">
        <f t="shared" si="137"/>
        <v>0</v>
      </c>
      <c r="Q379" s="638"/>
      <c r="R379" s="638"/>
      <c r="S379" s="638"/>
      <c r="T379" s="661">
        <f t="shared" ref="T379:AA379" si="138">SUM(T358:T378)</f>
        <v>0</v>
      </c>
      <c r="U379" s="662" t="e">
        <f t="shared" si="138"/>
        <v>#REF!</v>
      </c>
      <c r="V379" s="663">
        <f t="shared" si="138"/>
        <v>0</v>
      </c>
      <c r="W379" s="662" t="e">
        <f t="shared" si="138"/>
        <v>#REF!</v>
      </c>
      <c r="X379" s="663">
        <f t="shared" si="138"/>
        <v>287231.9301818182</v>
      </c>
      <c r="Y379" s="662" t="e">
        <f t="shared" si="138"/>
        <v>#REF!</v>
      </c>
      <c r="Z379" s="663">
        <f t="shared" si="138"/>
        <v>287231.9301818182</v>
      </c>
      <c r="AA379" s="664" t="e">
        <f t="shared" si="138"/>
        <v>#REF!</v>
      </c>
      <c r="AB379" s="641"/>
    </row>
    <row r="380" spans="1:28" x14ac:dyDescent="0.2">
      <c r="A380" s="985"/>
      <c r="B380" s="977" t="s">
        <v>1229</v>
      </c>
      <c r="C380" s="977"/>
      <c r="D380" s="977"/>
      <c r="E380" s="666">
        <f>(L380*L379+M380*M379+N380*N379)/(L379+M379+N379)</f>
        <v>8</v>
      </c>
      <c r="F380" s="665" t="s">
        <v>140</v>
      </c>
      <c r="G380" s="665"/>
      <c r="H380" s="665"/>
      <c r="I380" s="665"/>
      <c r="J380" s="665"/>
      <c r="K380" s="665"/>
      <c r="L380" s="887">
        <f>IF(L379=0,0,(SUMPRODUCT(L358:L378,$B358:$B378)/L379))</f>
        <v>0</v>
      </c>
      <c r="M380" s="887">
        <f>IF(M379=0,0,(SUMPRODUCT(M358:M378,$B358:$B378)/M379))</f>
        <v>0</v>
      </c>
      <c r="N380" s="887">
        <f>IF(N379=0,0,ROUND(SUMPRODUCT(N358:N378,$B358:$B378)/N379,0))</f>
        <v>8</v>
      </c>
      <c r="O380" s="667"/>
      <c r="P380" s="668"/>
      <c r="Q380" s="638"/>
      <c r="R380" s="638"/>
      <c r="S380" s="638"/>
      <c r="T380" s="638"/>
      <c r="U380" s="669"/>
      <c r="V380" s="638"/>
      <c r="W380" s="669"/>
      <c r="X380" s="638"/>
      <c r="Y380" s="669"/>
      <c r="Z380" s="638"/>
      <c r="AA380" s="669"/>
    </row>
    <row r="381" spans="1:28" ht="12.75" hidden="1" customHeight="1" x14ac:dyDescent="0.2">
      <c r="A381" s="983">
        <f>A356+1</f>
        <v>16</v>
      </c>
      <c r="B381" s="986" t="s">
        <v>1077</v>
      </c>
      <c r="C381" s="988" t="s">
        <v>1202</v>
      </c>
      <c r="D381" s="989"/>
      <c r="E381" s="990"/>
      <c r="F381" s="991" t="s">
        <v>1203</v>
      </c>
      <c r="G381" s="992"/>
      <c r="H381" s="993"/>
      <c r="I381" s="991" t="s">
        <v>1204</v>
      </c>
      <c r="J381" s="992"/>
      <c r="K381" s="993"/>
      <c r="L381" s="991" t="s">
        <v>1205</v>
      </c>
      <c r="M381" s="992"/>
      <c r="N381" s="992"/>
      <c r="O381" s="978" t="s">
        <v>1206</v>
      </c>
      <c r="P381" s="979"/>
      <c r="Q381" s="980" t="s">
        <v>1207</v>
      </c>
      <c r="R381" s="981"/>
      <c r="S381" s="982"/>
      <c r="T381" s="607" t="s">
        <v>1208</v>
      </c>
      <c r="U381" s="609" t="s">
        <v>1209</v>
      </c>
      <c r="V381" s="608" t="s">
        <v>1210</v>
      </c>
      <c r="W381" s="610" t="s">
        <v>1211</v>
      </c>
      <c r="X381" s="607" t="s">
        <v>1210</v>
      </c>
      <c r="Y381" s="609" t="s">
        <v>1211</v>
      </c>
      <c r="Z381" s="607" t="s">
        <v>1210</v>
      </c>
      <c r="AA381" s="609" t="s">
        <v>1211</v>
      </c>
    </row>
    <row r="382" spans="1:28" hidden="1" x14ac:dyDescent="0.2">
      <c r="A382" s="984"/>
      <c r="B382" s="987"/>
      <c r="C382" s="616" t="str">
        <f>$C$7</f>
        <v>Mini</v>
      </c>
      <c r="D382" s="617" t="str">
        <f>$D$7</f>
        <v>Midi</v>
      </c>
      <c r="E382" s="617" t="str">
        <f>$E$7</f>
        <v>Básico</v>
      </c>
      <c r="F382" s="616" t="str">
        <f>$C$7</f>
        <v>Mini</v>
      </c>
      <c r="G382" s="617" t="str">
        <f>$D$7</f>
        <v>Midi</v>
      </c>
      <c r="H382" s="617" t="str">
        <f>$E$7</f>
        <v>Básico</v>
      </c>
      <c r="I382" s="616" t="str">
        <f>$C$7</f>
        <v>Mini</v>
      </c>
      <c r="J382" s="617" t="str">
        <f>$D$7</f>
        <v>Midi</v>
      </c>
      <c r="K382" s="617" t="str">
        <f>$E$7</f>
        <v>Básico</v>
      </c>
      <c r="L382" s="616" t="str">
        <f>$C$7</f>
        <v>Mini</v>
      </c>
      <c r="M382" s="617" t="str">
        <f>$D$7</f>
        <v>Midi</v>
      </c>
      <c r="N382" s="617" t="str">
        <f>$E$7</f>
        <v>Básico</v>
      </c>
      <c r="O382" s="667" t="s">
        <v>1203</v>
      </c>
      <c r="P382" s="668" t="s">
        <v>1204</v>
      </c>
      <c r="Q382" s="620" t="str">
        <f>C382</f>
        <v>Mini</v>
      </c>
      <c r="R382" s="621" t="str">
        <f>D382</f>
        <v>Midi</v>
      </c>
      <c r="S382" s="622" t="str">
        <f>E382</f>
        <v>Básico</v>
      </c>
      <c r="T382" s="623" t="str">
        <f>C382</f>
        <v>Mini</v>
      </c>
      <c r="U382" s="624" t="str">
        <f>C382</f>
        <v>Mini</v>
      </c>
      <c r="V382" s="625" t="str">
        <f>D382</f>
        <v>Midi</v>
      </c>
      <c r="W382" s="626" t="str">
        <f>D382</f>
        <v>Midi</v>
      </c>
      <c r="X382" s="623" t="str">
        <f>E382</f>
        <v>Básico</v>
      </c>
      <c r="Y382" s="624" t="str">
        <f>E382</f>
        <v>Básico</v>
      </c>
      <c r="Z382" s="627" t="s">
        <v>1218</v>
      </c>
      <c r="AA382" s="628" t="s">
        <v>1218</v>
      </c>
    </row>
    <row r="383" spans="1:28" hidden="1" x14ac:dyDescent="0.2">
      <c r="A383" s="984"/>
      <c r="B383" s="633">
        <v>0</v>
      </c>
      <c r="C383" s="634">
        <v>0</v>
      </c>
      <c r="F383" s="679"/>
      <c r="G383" s="680"/>
      <c r="H383" s="680"/>
      <c r="I383" s="679"/>
      <c r="J383" s="680"/>
      <c r="K383" s="680"/>
      <c r="L383" s="634">
        <f>IF(A381&lt;=$F$3,C383+F383-I383,0)</f>
        <v>0</v>
      </c>
      <c r="M383" s="598">
        <f>IF(A381&lt;=$F$3,D383+G383-J383,0)</f>
        <v>0</v>
      </c>
      <c r="N383" s="598">
        <f>IF(A381&lt;=$F$3,E383+H383-K383,0)</f>
        <v>0</v>
      </c>
      <c r="O383" s="635">
        <f>IF(A381&lt;=$F$3,F383*Q383+G383*R383+H383*S383,0)</f>
        <v>0</v>
      </c>
      <c r="P383" s="636">
        <f>IF(A381&lt;=$F$3,I383*Q383+J383*R383+K383*S383,0)</f>
        <v>0</v>
      </c>
      <c r="Q383" s="637">
        <f t="shared" ref="Q383:S398" si="139">Q358</f>
        <v>525500</v>
      </c>
      <c r="R383" s="638">
        <f t="shared" si="139"/>
        <v>703800</v>
      </c>
      <c r="S383" s="639">
        <f t="shared" si="139"/>
        <v>743200</v>
      </c>
      <c r="T383" s="637">
        <f>L383*$AH$6*AD$12</f>
        <v>0</v>
      </c>
      <c r="U383" s="640" t="e">
        <f>$AH$6*(1-AE$11)*((1+HLOOKUP($A$381,FC_Premissas!$D$5:$W$16,14,FALSE)^0.0833-1))*L383*12</f>
        <v>#REF!</v>
      </c>
      <c r="V383" s="638">
        <f>M383*$AP$6*AL$12</f>
        <v>0</v>
      </c>
      <c r="W383" s="669" t="e">
        <f>$AP$6*(1-AM$11)*((1+HLOOKUP($A$381,FC_Premissas!$D$5:$W$16,14,FALSE)^0.0833-1))*M383*12</f>
        <v>#REF!</v>
      </c>
      <c r="X383" s="637">
        <f>N383*$AX$6*AT$12</f>
        <v>0</v>
      </c>
      <c r="Y383" s="640" t="e">
        <f>$AX$6*(1-AU$11)*((1+HLOOKUP($A$381,FC_Premissas!$D$5:$W$16,14,FALSE)^0.0833-1))*N383*12</f>
        <v>#REF!</v>
      </c>
      <c r="Z383" s="638">
        <f t="shared" ref="Z383:AA403" si="140">T383+V383+X383</f>
        <v>0</v>
      </c>
      <c r="AA383" s="669" t="e">
        <f t="shared" si="140"/>
        <v>#REF!</v>
      </c>
      <c r="AB383" s="641"/>
    </row>
    <row r="384" spans="1:28" hidden="1" x14ac:dyDescent="0.2">
      <c r="A384" s="984"/>
      <c r="B384" s="633">
        <v>1</v>
      </c>
      <c r="C384" s="634">
        <f>IF(A381&lt;=$F$3,L358,0)</f>
        <v>0</v>
      </c>
      <c r="D384" s="598">
        <f>IF(A381&lt;=$F$3,M358,0)</f>
        <v>0</v>
      </c>
      <c r="E384" s="598">
        <f>IF(A381&lt;=$F$3,N358,0)</f>
        <v>0</v>
      </c>
      <c r="F384" s="679"/>
      <c r="G384" s="680"/>
      <c r="H384" s="680"/>
      <c r="I384" s="681"/>
      <c r="J384" s="680"/>
      <c r="K384" s="680"/>
      <c r="L384" s="634">
        <f>IF(A381&lt;=$F$3,C384+F384-I384,0)</f>
        <v>0</v>
      </c>
      <c r="M384" s="598">
        <f>IF(A381&lt;=$F$3,D384+G384-J384,0)</f>
        <v>0</v>
      </c>
      <c r="N384" s="598">
        <f>IF(A381&lt;=$F$3,E384+H384-K384,0)</f>
        <v>0</v>
      </c>
      <c r="O384" s="635">
        <f>IF(A381&lt;=$F$3,F384*Q384+G384*R384+H384*S384,0)</f>
        <v>0</v>
      </c>
      <c r="P384" s="636">
        <f>IF(A381&lt;=$F$3,I384*Q384+J384*R384+K384*S384,0)</f>
        <v>0</v>
      </c>
      <c r="Q384" s="637">
        <f t="shared" si="139"/>
        <v>439509.09090909094</v>
      </c>
      <c r="R384" s="638">
        <f t="shared" si="139"/>
        <v>590567.30181818188</v>
      </c>
      <c r="S384" s="639">
        <f t="shared" si="139"/>
        <v>623520.02909090917</v>
      </c>
      <c r="T384" s="637">
        <f>L384*$AH$6*AD$13</f>
        <v>0</v>
      </c>
      <c r="U384" s="640" t="e">
        <f>$AH$6*(1-AE$12)*((1+HLOOKUP($A$381,FC_Premissas!$D$5:$W$16,14,FALSE)^0.0833-1))*L384*12</f>
        <v>#REF!</v>
      </c>
      <c r="V384" s="638">
        <f>M384*$AP$6*AL$13</f>
        <v>0</v>
      </c>
      <c r="W384" s="669" t="e">
        <f>$AP$6*(1-AM$12)*((1+HLOOKUP($A$381,FC_Premissas!$D$5:$W$16,14,FALSE))^0.0833-1)*M384*12</f>
        <v>#REF!</v>
      </c>
      <c r="X384" s="637">
        <f>N384*$AX$6*AT$13</f>
        <v>0</v>
      </c>
      <c r="Y384" s="640" t="e">
        <f>$AX$6*(1-AU$12)*((1+HLOOKUP($A$381,FC_Premissas!$D$5:$W$16,14,FALSE))^0.0833-1)*N384*12</f>
        <v>#REF!</v>
      </c>
      <c r="Z384" s="638">
        <f t="shared" si="140"/>
        <v>0</v>
      </c>
      <c r="AA384" s="669" t="e">
        <f t="shared" si="140"/>
        <v>#REF!</v>
      </c>
      <c r="AB384" s="641"/>
    </row>
    <row r="385" spans="1:28" hidden="1" x14ac:dyDescent="0.2">
      <c r="A385" s="984"/>
      <c r="B385" s="633">
        <v>2</v>
      </c>
      <c r="C385" s="634">
        <f>IF(A381&lt;=$F$3,L359,0)</f>
        <v>0</v>
      </c>
      <c r="D385" s="598">
        <f>IF(A381&lt;=$F$3,M359,0)</f>
        <v>0</v>
      </c>
      <c r="E385" s="598">
        <f>IF(A381&lt;=$F$3,N359,0)</f>
        <v>0</v>
      </c>
      <c r="F385" s="679"/>
      <c r="G385" s="680"/>
      <c r="H385" s="680"/>
      <c r="I385" s="679"/>
      <c r="J385" s="680"/>
      <c r="K385" s="680"/>
      <c r="L385" s="634">
        <f>IF(A381&lt;=$F$3,C385+F385-I385,0)</f>
        <v>0</v>
      </c>
      <c r="M385" s="598">
        <f>IF(A381&lt;=$F$3,D385+G385-J385,0)</f>
        <v>0</v>
      </c>
      <c r="N385" s="598">
        <f>IF(A381&lt;=$F$3,E385+H385-K385,0)</f>
        <v>0</v>
      </c>
      <c r="O385" s="635">
        <f>IF(A381&lt;=$F$3,F385*Q385+G385*R385+H385*S385,0)</f>
        <v>0</v>
      </c>
      <c r="P385" s="636">
        <f>IF(A381&lt;=$F$3,I385*Q385+J385*R385+K385*S385,0)</f>
        <v>0</v>
      </c>
      <c r="Q385" s="637">
        <f t="shared" si="139"/>
        <v>362117.27272727271</v>
      </c>
      <c r="R385" s="638">
        <f t="shared" si="139"/>
        <v>488657.87345454545</v>
      </c>
      <c r="S385" s="639">
        <f t="shared" si="139"/>
        <v>515808.05527272727</v>
      </c>
      <c r="T385" s="637">
        <f>L385*$AH$6*AD$14</f>
        <v>0</v>
      </c>
      <c r="U385" s="640" t="e">
        <f>$AH$6*(1-AE$13)*((1+HLOOKUP($A$381,FC_Premissas!$D$5:$W$16,14,FALSE)^0.0833-1))*L385*12</f>
        <v>#REF!</v>
      </c>
      <c r="V385" s="638">
        <f>M385*$AP$6*AL$14</f>
        <v>0</v>
      </c>
      <c r="W385" s="669" t="e">
        <f>$AP$6*(1-AM$13)*((1+HLOOKUP($A$381,FC_Premissas!$D$5:$W$16,14,FALSE))^0.0833-1)*M385*12</f>
        <v>#REF!</v>
      </c>
      <c r="X385" s="637">
        <f>N385*$AX$6*AT$14</f>
        <v>0</v>
      </c>
      <c r="Y385" s="640" t="e">
        <f>$AX$6*(1-AU$13)*((1+HLOOKUP($A$381,FC_Premissas!$D$5:$W$16,14,FALSE))^0.0833-1)*N385*12</f>
        <v>#REF!</v>
      </c>
      <c r="Z385" s="638">
        <f t="shared" si="140"/>
        <v>0</v>
      </c>
      <c r="AA385" s="669" t="e">
        <f t="shared" si="140"/>
        <v>#REF!</v>
      </c>
      <c r="AB385" s="641"/>
    </row>
    <row r="386" spans="1:28" hidden="1" x14ac:dyDescent="0.2">
      <c r="A386" s="984"/>
      <c r="B386" s="633">
        <v>3</v>
      </c>
      <c r="C386" s="634">
        <f>IF(A381&lt;=$F$3,L360,0)</f>
        <v>0</v>
      </c>
      <c r="D386" s="598">
        <f>IF(A381&lt;=$F$3,M360,0)</f>
        <v>0</v>
      </c>
      <c r="E386" s="598">
        <f>IF(A381&lt;=$F$3,N360,0)</f>
        <v>0</v>
      </c>
      <c r="F386" s="679"/>
      <c r="G386" s="680"/>
      <c r="H386" s="680"/>
      <c r="I386" s="679"/>
      <c r="J386" s="680"/>
      <c r="K386" s="680"/>
      <c r="L386" s="634">
        <f>IF(A381&lt;=$F$3,C386+F386-I386,0)</f>
        <v>0</v>
      </c>
      <c r="M386" s="598">
        <f>IF(A381&lt;=$F$3,D386+G386-J386,0)</f>
        <v>0</v>
      </c>
      <c r="N386" s="598">
        <f>IF(A381&lt;=$F$3,E386+H386-K386,0)</f>
        <v>0</v>
      </c>
      <c r="O386" s="635">
        <f>IF(A381&lt;=$F$3,F386*Q386+G386*R386+H386*S386,0)</f>
        <v>0</v>
      </c>
      <c r="P386" s="636">
        <f>IF(A381&lt;=$F$3,I386*Q386+J386*R386+K386*S386,0)</f>
        <v>0</v>
      </c>
      <c r="Q386" s="637">
        <f t="shared" si="139"/>
        <v>293324.54545454541</v>
      </c>
      <c r="R386" s="638">
        <f t="shared" si="139"/>
        <v>398071.71490909089</v>
      </c>
      <c r="S386" s="639">
        <f t="shared" si="139"/>
        <v>420064.07854545448</v>
      </c>
      <c r="T386" s="637">
        <f>L386*$AH$6*AD$15</f>
        <v>0</v>
      </c>
      <c r="U386" s="640" t="e">
        <f>$AH$6*(1-AE$14)*((1+HLOOKUP($A$381,FC_Premissas!$D$5:$W$16,14,FALSE)^0.0833-1))*L386*12</f>
        <v>#REF!</v>
      </c>
      <c r="V386" s="638">
        <f>M386*$AP$6*AL$15</f>
        <v>0</v>
      </c>
      <c r="W386" s="669" t="e">
        <f>$AP$6*(1-AM$14)*((1+HLOOKUP($A$381,FC_Premissas!$D$5:$W$16,14,FALSE))^0.0833-1)*M386*12</f>
        <v>#REF!</v>
      </c>
      <c r="X386" s="637">
        <f>N386*$AX$6*AT$15</f>
        <v>0</v>
      </c>
      <c r="Y386" s="640" t="e">
        <f>$AX$6*(1-AU$14)*((1+HLOOKUP($A$381,FC_Premissas!$D$5:$W$16,14,FALSE))^0.0833-1)*N386*12</f>
        <v>#REF!</v>
      </c>
      <c r="Z386" s="638">
        <f t="shared" si="140"/>
        <v>0</v>
      </c>
      <c r="AA386" s="669" t="e">
        <f t="shared" si="140"/>
        <v>#REF!</v>
      </c>
      <c r="AB386" s="641"/>
    </row>
    <row r="387" spans="1:28" hidden="1" x14ac:dyDescent="0.2">
      <c r="A387" s="984"/>
      <c r="B387" s="633">
        <v>4</v>
      </c>
      <c r="C387" s="634">
        <f>IF(A381&lt;=$F$3,L361,0)</f>
        <v>0</v>
      </c>
      <c r="D387" s="598">
        <f>IF(A381&lt;=$F$3,M361,0)</f>
        <v>0</v>
      </c>
      <c r="E387" s="598">
        <f>IF(A381&lt;=$F$3,N361,0)</f>
        <v>0</v>
      </c>
      <c r="F387" s="679"/>
      <c r="G387" s="680"/>
      <c r="H387" s="680"/>
      <c r="I387" s="679"/>
      <c r="J387" s="680"/>
      <c r="K387" s="680"/>
      <c r="L387" s="634">
        <f>IF(A381&lt;=$F$3,C387+F387-I387,0)</f>
        <v>0</v>
      </c>
      <c r="M387" s="598">
        <f>IF(A381&lt;=$F$3,D387+G387-J387,0)</f>
        <v>0</v>
      </c>
      <c r="N387" s="598">
        <f>IF(A381&lt;=$F$3,E387+H387-K387,0)</f>
        <v>0</v>
      </c>
      <c r="O387" s="635">
        <f>IF(A381&lt;=$F$3,F387*Q387+G387*R387+H387*S387,0)</f>
        <v>0</v>
      </c>
      <c r="P387" s="636">
        <f>IF(A381&lt;=$F$3,I387*Q387+J387*R387+K387*S387,0)</f>
        <v>0</v>
      </c>
      <c r="Q387" s="637">
        <f t="shared" si="139"/>
        <v>233130.90909090909</v>
      </c>
      <c r="R387" s="638">
        <f t="shared" si="139"/>
        <v>318808.82618181815</v>
      </c>
      <c r="S387" s="639">
        <f t="shared" si="139"/>
        <v>336288.09890909091</v>
      </c>
      <c r="T387" s="637">
        <f>L387*$AH$6*AD$16</f>
        <v>0</v>
      </c>
      <c r="U387" s="640" t="e">
        <f>$AH$6*(1-AE$15)*((1+HLOOKUP($A$381,FC_Premissas!$D$5:$W$16,14,FALSE)^0.0833-1))*L387*12</f>
        <v>#REF!</v>
      </c>
      <c r="V387" s="638">
        <f>M387*$AP$6*AL$16</f>
        <v>0</v>
      </c>
      <c r="W387" s="669" t="e">
        <f>$AP$6*(1-AM$15)*((1+HLOOKUP($A$381,FC_Premissas!$D$5:$W$16,14,FALSE))^0.0833-1)*M387*12</f>
        <v>#REF!</v>
      </c>
      <c r="X387" s="637">
        <f>N387*$AX$6*AT$16</f>
        <v>0</v>
      </c>
      <c r="Y387" s="640" t="e">
        <f>$AX$6*(1-AU$15)*((1+HLOOKUP($A$381,FC_Premissas!$D$5:$W$16,14,FALSE))^0.0833-1)*N387*12</f>
        <v>#REF!</v>
      </c>
      <c r="Z387" s="638">
        <f t="shared" si="140"/>
        <v>0</v>
      </c>
      <c r="AA387" s="669" t="e">
        <f t="shared" si="140"/>
        <v>#REF!</v>
      </c>
      <c r="AB387" s="641"/>
    </row>
    <row r="388" spans="1:28" hidden="1" x14ac:dyDescent="0.2">
      <c r="A388" s="984"/>
      <c r="B388" s="633">
        <v>5</v>
      </c>
      <c r="C388" s="634">
        <f>IF(A381&lt;=$F$3,L362,0)</f>
        <v>0</v>
      </c>
      <c r="D388" s="598">
        <f>IF(A381&lt;=$F$3,M362,0)</f>
        <v>0</v>
      </c>
      <c r="E388" s="598">
        <f>IF(A381&lt;=$F$3,N362,0)</f>
        <v>0</v>
      </c>
      <c r="F388" s="679"/>
      <c r="G388" s="680"/>
      <c r="H388" s="680"/>
      <c r="I388" s="679"/>
      <c r="J388" s="680"/>
      <c r="K388" s="680"/>
      <c r="L388" s="634">
        <f>IF(A381&lt;=$F$3,C388+F388-I388,0)</f>
        <v>0</v>
      </c>
      <c r="M388" s="598">
        <f>IF(A381&lt;=$F$3,D388+G388-J388,0)</f>
        <v>0</v>
      </c>
      <c r="N388" s="598">
        <f>IF(A381&lt;=$F$3,E388+H388-K388,0)</f>
        <v>0</v>
      </c>
      <c r="O388" s="635">
        <f>IF(A381&lt;=$F$3,F388*Q388+G388*R388+H388*S388,0)</f>
        <v>0</v>
      </c>
      <c r="P388" s="636">
        <f>IF(A381&lt;=$F$3,I388*Q388+J388*R388+K388*S388,0)</f>
        <v>0</v>
      </c>
      <c r="Q388" s="637">
        <f t="shared" si="139"/>
        <v>181536.36363636365</v>
      </c>
      <c r="R388" s="638">
        <f t="shared" si="139"/>
        <v>250869.20727272728</v>
      </c>
      <c r="S388" s="639">
        <f t="shared" si="139"/>
        <v>264480.11636363639</v>
      </c>
      <c r="T388" s="637">
        <f>L388*$AH$6*AD$17</f>
        <v>0</v>
      </c>
      <c r="U388" s="640" t="e">
        <f>$AH$6*(1-AE$16)*((1+HLOOKUP($A$381,FC_Premissas!$D$5:$W$16,14,FALSE)^0.0833-1))*L388*12</f>
        <v>#REF!</v>
      </c>
      <c r="V388" s="638">
        <f>M388*$AP$6*AL$17</f>
        <v>0</v>
      </c>
      <c r="W388" s="669" t="e">
        <f>$AP$6*(1-AM$16)*((1+HLOOKUP($A$381,FC_Premissas!$D$5:$W$16,14,FALSE))^0.0833-1)*M388*12</f>
        <v>#REF!</v>
      </c>
      <c r="X388" s="637">
        <f>N388*$AX$6*AT$17</f>
        <v>0</v>
      </c>
      <c r="Y388" s="640" t="e">
        <f>$AX$6*(1-AU$16)*((1+HLOOKUP($A$381,FC_Premissas!$D$5:$W$16,14,FALSE))^0.0833-1)*N388*12</f>
        <v>#REF!</v>
      </c>
      <c r="Z388" s="638">
        <f t="shared" si="140"/>
        <v>0</v>
      </c>
      <c r="AA388" s="669" t="e">
        <f t="shared" si="140"/>
        <v>#REF!</v>
      </c>
      <c r="AB388" s="641"/>
    </row>
    <row r="389" spans="1:28" hidden="1" x14ac:dyDescent="0.2">
      <c r="A389" s="984"/>
      <c r="B389" s="633">
        <v>6</v>
      </c>
      <c r="C389" s="634">
        <f>IF(A381&lt;=$F$3,L363,0)</f>
        <v>0</v>
      </c>
      <c r="D389" s="598">
        <f>IF(A381&lt;=$F$3,M363,0)</f>
        <v>0</v>
      </c>
      <c r="E389" s="598">
        <f>IF(A381&lt;=$F$3,N363,0)</f>
        <v>0</v>
      </c>
      <c r="F389" s="679"/>
      <c r="G389" s="680"/>
      <c r="H389" s="680"/>
      <c r="I389" s="679"/>
      <c r="J389" s="680"/>
      <c r="K389" s="680"/>
      <c r="L389" s="634">
        <f>IF(A381&lt;=$F$3,C389+F389-I389,0)</f>
        <v>0</v>
      </c>
      <c r="M389" s="598">
        <f>IF(A381&lt;=$F$3,D389+G389-J389,0)</f>
        <v>0</v>
      </c>
      <c r="N389" s="598">
        <f>IF(A381&lt;=$F$3,E389+H389-K389,0)</f>
        <v>0</v>
      </c>
      <c r="O389" s="635">
        <f>IF(A381&lt;=$F$3,F389*Q389+G389*R389+H389*S389,0)</f>
        <v>0</v>
      </c>
      <c r="P389" s="636">
        <f>IF(A381&lt;=$F$3,I389*Q389+J389*R389+K389*S389,0)</f>
        <v>0</v>
      </c>
      <c r="Q389" s="637">
        <f t="shared" si="139"/>
        <v>138540.90909090912</v>
      </c>
      <c r="R389" s="638">
        <f t="shared" si="139"/>
        <v>194252.85818181818</v>
      </c>
      <c r="S389" s="639">
        <f t="shared" si="139"/>
        <v>204640.13090909092</v>
      </c>
      <c r="T389" s="637">
        <f>L389*$AH$6*AD$18</f>
        <v>0</v>
      </c>
      <c r="U389" s="640" t="e">
        <f>$AH$6*(1-AE$17)*((1+HLOOKUP($A$381,FC_Premissas!$D$5:$W$16,14,FALSE)^0.0833-1))*L389*12</f>
        <v>#REF!</v>
      </c>
      <c r="V389" s="638">
        <f>M389*$AP$6*AL$18</f>
        <v>0</v>
      </c>
      <c r="W389" s="669" t="e">
        <f>$AP$6*(1-AM$17)*((1+HLOOKUP($A$381,FC_Premissas!$D$5:$W$16,14,FALSE))^0.0833-1)*M389*12</f>
        <v>#REF!</v>
      </c>
      <c r="X389" s="637">
        <f>N389*$AX$6*AT$18</f>
        <v>0</v>
      </c>
      <c r="Y389" s="640" t="e">
        <f>$AX$6*(1-AU$17)*((1+HLOOKUP($A$381,FC_Premissas!$D$5:$W$16,14,FALSE))^0.0833-1)*N389*12</f>
        <v>#REF!</v>
      </c>
      <c r="Z389" s="638">
        <f t="shared" si="140"/>
        <v>0</v>
      </c>
      <c r="AA389" s="669" t="e">
        <f t="shared" si="140"/>
        <v>#REF!</v>
      </c>
      <c r="AB389" s="641"/>
    </row>
    <row r="390" spans="1:28" hidden="1" x14ac:dyDescent="0.2">
      <c r="A390" s="984"/>
      <c r="B390" s="633">
        <v>7</v>
      </c>
      <c r="C390" s="634">
        <f>IF(A381&lt;=$F$3,L364,0)</f>
        <v>0</v>
      </c>
      <c r="D390" s="598">
        <f>IF(A381&lt;=$F$3,M364,0)</f>
        <v>0</v>
      </c>
      <c r="E390" s="598">
        <f>IF(A381&lt;=$F$3,N364,0)</f>
        <v>0</v>
      </c>
      <c r="F390" s="679"/>
      <c r="G390" s="680"/>
      <c r="H390" s="680"/>
      <c r="I390" s="679"/>
      <c r="J390" s="680"/>
      <c r="K390" s="680"/>
      <c r="L390" s="634">
        <f>IF(A381&lt;=$F$3,C390+F390-I390,0)</f>
        <v>0</v>
      </c>
      <c r="M390" s="598">
        <f>IF(A381&lt;=$F$3,D390+G390-J390,0)</f>
        <v>0</v>
      </c>
      <c r="N390" s="598">
        <f>IF(A381&lt;=$F$3,E390+H390-K390,0)</f>
        <v>0</v>
      </c>
      <c r="O390" s="635">
        <f>IF(A381&lt;=$F$3,F390*Q390+G390*R390+H390*S390,0)</f>
        <v>0</v>
      </c>
      <c r="P390" s="636">
        <f>IF(A381&lt;=$F$3,I390*Q390+J390*R390+K390*S390,0)</f>
        <v>0</v>
      </c>
      <c r="Q390" s="637">
        <f t="shared" si="139"/>
        <v>104144.54545454548</v>
      </c>
      <c r="R390" s="638">
        <f t="shared" si="139"/>
        <v>148959.77890909094</v>
      </c>
      <c r="S390" s="639">
        <f t="shared" si="139"/>
        <v>156768.14254545458</v>
      </c>
      <c r="T390" s="637">
        <f>L390*$AH$6*AD$19</f>
        <v>0</v>
      </c>
      <c r="U390" s="640" t="e">
        <f>$AH$6*(1-AE$18)*((1+HLOOKUP($A$381,FC_Premissas!$D$5:$W$16,14,FALSE)^0.0833-1))*L390*12</f>
        <v>#REF!</v>
      </c>
      <c r="V390" s="638">
        <f>M390*$AP$6*AL$19</f>
        <v>0</v>
      </c>
      <c r="W390" s="669" t="e">
        <f>$AP$6*(1-AM$18)*((1+HLOOKUP($A$381,FC_Premissas!$D$5:$W$16,14,FALSE))^0.0833-1)*M390*12</f>
        <v>#REF!</v>
      </c>
      <c r="X390" s="637">
        <f>N390*$AX$6*AT$19</f>
        <v>0</v>
      </c>
      <c r="Y390" s="640" t="e">
        <f>$AX$6*(1-AU$18)*((1+HLOOKUP($A$381,FC_Premissas!$D$5:$W$16,14,FALSE))^0.0833-1)*N390*12</f>
        <v>#REF!</v>
      </c>
      <c r="Z390" s="638">
        <f t="shared" si="140"/>
        <v>0</v>
      </c>
      <c r="AA390" s="669" t="e">
        <f t="shared" si="140"/>
        <v>#REF!</v>
      </c>
      <c r="AB390" s="641"/>
    </row>
    <row r="391" spans="1:28" hidden="1" x14ac:dyDescent="0.2">
      <c r="A391" s="984"/>
      <c r="B391" s="633">
        <v>8</v>
      </c>
      <c r="C391" s="634">
        <f>IF(A381&lt;=$F$3,L365,0)</f>
        <v>0</v>
      </c>
      <c r="D391" s="598">
        <f>IF(A381&lt;=$F$3,M365,0)</f>
        <v>0</v>
      </c>
      <c r="E391" s="598">
        <f>IF(A381&lt;=$F$3,N365,0)</f>
        <v>0</v>
      </c>
      <c r="F391" s="679"/>
      <c r="G391" s="680"/>
      <c r="H391" s="680"/>
      <c r="I391" s="679"/>
      <c r="J391" s="680"/>
      <c r="K391" s="680"/>
      <c r="L391" s="634">
        <f>IF(A381&lt;=$F$3,C391+F391-I391,0)</f>
        <v>0</v>
      </c>
      <c r="M391" s="598">
        <f>IF(A381&lt;=$F$3,D391+G391-J391,0)</f>
        <v>0</v>
      </c>
      <c r="N391" s="598">
        <f>IF(A381&lt;=$F$3,E391+H391-K391,0)</f>
        <v>0</v>
      </c>
      <c r="O391" s="635">
        <f>IF(A381&lt;=$F$3,F391*Q391+G391*R391+H391*S391,0)</f>
        <v>0</v>
      </c>
      <c r="P391" s="636">
        <f>IF(A381&lt;=$F$3,I391*Q391+J391*R391+K391*S391,0)</f>
        <v>0</v>
      </c>
      <c r="Q391" s="637">
        <f t="shared" si="139"/>
        <v>78347.272727272764</v>
      </c>
      <c r="R391" s="638">
        <f t="shared" si="139"/>
        <v>114989.9694545455</v>
      </c>
      <c r="S391" s="639">
        <f t="shared" si="139"/>
        <v>120864.15127272732</v>
      </c>
      <c r="T391" s="637">
        <f>L391*$AH$6*AD$20</f>
        <v>0</v>
      </c>
      <c r="U391" s="640" t="e">
        <f>$AH$6*(1-AE$19)*((1+HLOOKUP($A$381,FC_Premissas!$D$5:$W$16,14,FALSE)^0.0833-1))*L391*12</f>
        <v>#REF!</v>
      </c>
      <c r="V391" s="638">
        <f>M391*$AP$6*AL$20</f>
        <v>0</v>
      </c>
      <c r="W391" s="669" t="e">
        <f>$AP$6*(1-AM$19)*((1+HLOOKUP($A$381,FC_Premissas!$D$5:$W$16,14,FALSE))^0.0833-1)*M391*12</f>
        <v>#REF!</v>
      </c>
      <c r="X391" s="637">
        <f>N391*$AX$6*AT$20</f>
        <v>0</v>
      </c>
      <c r="Y391" s="640" t="e">
        <f>$AX$6*(1-AU$19)*((1+HLOOKUP($A$381,FC_Premissas!$D$5:$W$16,14,FALSE))^0.0833-1)*N391*12</f>
        <v>#REF!</v>
      </c>
      <c r="Z391" s="638">
        <f t="shared" si="140"/>
        <v>0</v>
      </c>
      <c r="AA391" s="669" t="e">
        <f t="shared" si="140"/>
        <v>#REF!</v>
      </c>
      <c r="AB391" s="641"/>
    </row>
    <row r="392" spans="1:28" hidden="1" x14ac:dyDescent="0.2">
      <c r="A392" s="984"/>
      <c r="B392" s="633">
        <v>9</v>
      </c>
      <c r="C392" s="634">
        <f>IF(A381&lt;=$F$3,L366,0)</f>
        <v>0</v>
      </c>
      <c r="D392" s="598">
        <f>IF(A381&lt;=$F$3,M366,0)</f>
        <v>0</v>
      </c>
      <c r="E392" s="598">
        <f>IF(A381&lt;=$F$3,N366,0)</f>
        <v>0</v>
      </c>
      <c r="F392" s="679"/>
      <c r="G392" s="680"/>
      <c r="H392" s="680"/>
      <c r="I392" s="679"/>
      <c r="J392" s="680"/>
      <c r="K392" s="680"/>
      <c r="L392" s="634">
        <f>IF(A381&lt;=$F$3,C392+F392-I392,0)</f>
        <v>0</v>
      </c>
      <c r="M392" s="598">
        <f>IF(A381&lt;=$F$3,D392+G392-J392,0)</f>
        <v>0</v>
      </c>
      <c r="N392" s="598">
        <f>IF(A381&lt;=$F$3,E392+H392-K392,0)</f>
        <v>0</v>
      </c>
      <c r="O392" s="635">
        <f>IF(A381&lt;=$F$3,F392*Q392+G392*R392+H392*S392,0)</f>
        <v>0</v>
      </c>
      <c r="P392" s="636">
        <f>IF(A381&lt;=$F$3,I392*Q392+J392*R392+K392*S392,0)</f>
        <v>0</v>
      </c>
      <c r="Q392" s="637">
        <f t="shared" si="139"/>
        <v>61149.090909090955</v>
      </c>
      <c r="R392" s="638">
        <f t="shared" si="139"/>
        <v>92343.429818181874</v>
      </c>
      <c r="S392" s="639">
        <f t="shared" si="139"/>
        <v>96928.157090909139</v>
      </c>
      <c r="T392" s="637">
        <f>L392*$AH$6*AD$21</f>
        <v>0</v>
      </c>
      <c r="U392" s="640" t="e">
        <f>$AH$6*(1-AE$20)*((1+HLOOKUP($A$381,FC_Premissas!$D$5:$W$16,14,FALSE)^0.0833-1))*L392*12</f>
        <v>#REF!</v>
      </c>
      <c r="V392" s="638">
        <f>M392*$AP$6*AL$21</f>
        <v>0</v>
      </c>
      <c r="W392" s="669" t="e">
        <f>$AP$6*(1-AM$20)*((1+HLOOKUP($A$381,FC_Premissas!$D$5:$W$16,14,FALSE))^0.0833-1)*M392*12</f>
        <v>#REF!</v>
      </c>
      <c r="X392" s="637">
        <f>N392*$AX$6*AT$21</f>
        <v>0</v>
      </c>
      <c r="Y392" s="640" t="e">
        <f>$AX$6*(1-AU$20)*((1+HLOOKUP($A$381,FC_Premissas!$D$5:$W$16,14,FALSE))^0.0833-1)*N392*12</f>
        <v>#REF!</v>
      </c>
      <c r="Z392" s="638">
        <f t="shared" si="140"/>
        <v>0</v>
      </c>
      <c r="AA392" s="669" t="e">
        <f t="shared" si="140"/>
        <v>#REF!</v>
      </c>
      <c r="AB392" s="641"/>
    </row>
    <row r="393" spans="1:28" hidden="1" x14ac:dyDescent="0.2">
      <c r="A393" s="984"/>
      <c r="B393" s="633">
        <v>10</v>
      </c>
      <c r="C393" s="634">
        <f>IF(A381&lt;=$F$3,L367,0)</f>
        <v>0</v>
      </c>
      <c r="D393" s="598">
        <f>IF(A381&lt;=$F$3,M367,0)</f>
        <v>0</v>
      </c>
      <c r="E393" s="598">
        <f>IF(A381&lt;=$F$3,N367,0)</f>
        <v>0</v>
      </c>
      <c r="F393" s="679"/>
      <c r="G393" s="680"/>
      <c r="H393" s="680"/>
      <c r="I393" s="679"/>
      <c r="J393" s="680"/>
      <c r="K393" s="680"/>
      <c r="L393" s="634">
        <f>IF(A381&lt;=$F$3,C393+F393-I393,0)</f>
        <v>0</v>
      </c>
      <c r="M393" s="598">
        <f>IF(A381&lt;=$F$3,D393+G393-J393,0)</f>
        <v>0</v>
      </c>
      <c r="N393" s="598">
        <f>IF(A381&lt;=$F$3,E393+H393-K393,0)</f>
        <v>0</v>
      </c>
      <c r="O393" s="635">
        <f>IF(A381&lt;=$F$3,F393*Q393+G393*R393+H393*S393,0)</f>
        <v>0</v>
      </c>
      <c r="P393" s="636">
        <f>IF(A381&lt;=$F$3,I393*Q393+J393*R393+K393*S393,0)</f>
        <v>0</v>
      </c>
      <c r="Q393" s="637">
        <f t="shared" si="139"/>
        <v>52550.000000000044</v>
      </c>
      <c r="R393" s="638">
        <f t="shared" si="139"/>
        <v>81020.160000000062</v>
      </c>
      <c r="S393" s="639">
        <f t="shared" si="139"/>
        <v>84960.160000000062</v>
      </c>
      <c r="T393" s="637">
        <f>L393*$AH$6*AD$22</f>
        <v>0</v>
      </c>
      <c r="U393" s="640" t="e">
        <f>$AH$6*(1-AE$21)*((1+HLOOKUP($A$381,FC_Premissas!$D$5:$W$16,14,FALSE)^0.0833-1))*L393*12</f>
        <v>#REF!</v>
      </c>
      <c r="V393" s="638">
        <f>M393*$AP$6*AL$22</f>
        <v>0</v>
      </c>
      <c r="W393" s="669" t="e">
        <f>$AP$6*(1-AM$21)*((1+HLOOKUP($A$381,FC_Premissas!$D$5:$W$16,14,FALSE))^0.0833-1)*M393*12</f>
        <v>#REF!</v>
      </c>
      <c r="X393" s="637">
        <f>N393*$AX$6*AT$22</f>
        <v>0</v>
      </c>
      <c r="Y393" s="640" t="e">
        <f>$AX$6*(1-AU$21)*((1+HLOOKUP($A$381,FC_Premissas!$D$5:$W$16,14,FALSE))^0.0833-1)*N393*12</f>
        <v>#REF!</v>
      </c>
      <c r="Z393" s="638">
        <f t="shared" si="140"/>
        <v>0</v>
      </c>
      <c r="AA393" s="669" t="e">
        <f t="shared" si="140"/>
        <v>#REF!</v>
      </c>
      <c r="AB393" s="641"/>
    </row>
    <row r="394" spans="1:28" hidden="1" x14ac:dyDescent="0.2">
      <c r="A394" s="984"/>
      <c r="B394" s="633">
        <v>11</v>
      </c>
      <c r="C394" s="634">
        <f>IF(A381&lt;=$F$3,L368,0)</f>
        <v>0</v>
      </c>
      <c r="D394" s="598">
        <f>IF(A381&lt;=$F$3,M368,0)</f>
        <v>0</v>
      </c>
      <c r="E394" s="598">
        <f>IF(A381&lt;=$F$3,N368,0)</f>
        <v>0</v>
      </c>
      <c r="F394" s="679"/>
      <c r="G394" s="680"/>
      <c r="H394" s="680"/>
      <c r="I394" s="679"/>
      <c r="J394" s="680"/>
      <c r="K394" s="680"/>
      <c r="L394" s="634">
        <f>IF(A381&lt;=$F$3,C394+F394-I394,0)</f>
        <v>0</v>
      </c>
      <c r="M394" s="598">
        <f>IF(A381&lt;=$F$3,D394+G394-J394,0)</f>
        <v>0</v>
      </c>
      <c r="N394" s="598">
        <f>IF(A381&lt;=$F$3,E394+H394-K394,0)</f>
        <v>0</v>
      </c>
      <c r="O394" s="635">
        <f>IF(A381&lt;=$F$3,F394*Q394+G394*R394+H394*S394,0)</f>
        <v>0</v>
      </c>
      <c r="P394" s="636">
        <f>IF(A381&lt;=$F$3,I394*Q394+J394*R394+K394*S394,0)</f>
        <v>0</v>
      </c>
      <c r="Q394" s="637">
        <f t="shared" si="139"/>
        <v>52550.000000000044</v>
      </c>
      <c r="R394" s="638">
        <f t="shared" si="139"/>
        <v>81020.160000000062</v>
      </c>
      <c r="S394" s="639">
        <f t="shared" si="139"/>
        <v>84960.160000000062</v>
      </c>
      <c r="T394" s="637">
        <f>L394*$AH$6*AD$23</f>
        <v>0</v>
      </c>
      <c r="U394" s="640" t="e">
        <f>$AH$6*(1-AE$22)*((1+HLOOKUP($A$381,FC_Premissas!$D$5:$W$16,14,FALSE)^0.0833-1))*L394*12</f>
        <v>#REF!</v>
      </c>
      <c r="V394" s="638">
        <f>M394*$AP$6*AL$23</f>
        <v>0</v>
      </c>
      <c r="W394" s="669" t="e">
        <f>$AP$6*(1-AM$22)*((1+HLOOKUP($A$381,FC_Premissas!$D$5:$W$16,14,FALSE))^0.0833-1)*M394*12</f>
        <v>#REF!</v>
      </c>
      <c r="X394" s="637">
        <f>N394*$AX$6*AT$23</f>
        <v>0</v>
      </c>
      <c r="Y394" s="640" t="e">
        <f>$AX$6*(1-AU$22)*((1+HLOOKUP($A$381,FC_Premissas!$D$5:$W$16,14,FALSE))^0.0833-1)*N394*12</f>
        <v>#REF!</v>
      </c>
      <c r="Z394" s="638">
        <f t="shared" si="140"/>
        <v>0</v>
      </c>
      <c r="AA394" s="669" t="e">
        <f t="shared" si="140"/>
        <v>#REF!</v>
      </c>
      <c r="AB394" s="641"/>
    </row>
    <row r="395" spans="1:28" hidden="1" x14ac:dyDescent="0.2">
      <c r="A395" s="984"/>
      <c r="B395" s="633">
        <v>12</v>
      </c>
      <c r="C395" s="634">
        <f>IF(A381&lt;=$F$3,L369,0)</f>
        <v>0</v>
      </c>
      <c r="D395" s="598">
        <f>IF(A381&lt;=$F$3,M369,0)</f>
        <v>0</v>
      </c>
      <c r="E395" s="598">
        <f>IF(A381&lt;=$F$3,N369,0)</f>
        <v>0</v>
      </c>
      <c r="F395" s="679"/>
      <c r="G395" s="680"/>
      <c r="H395" s="680"/>
      <c r="I395" s="679"/>
      <c r="J395" s="680"/>
      <c r="K395" s="680"/>
      <c r="L395" s="634">
        <f>IF(A381&lt;=$F$3,C395+F395-I395,0)</f>
        <v>0</v>
      </c>
      <c r="M395" s="598">
        <f>IF(A381&lt;=$F$3,D395+G395-J395,0)</f>
        <v>0</v>
      </c>
      <c r="N395" s="598">
        <f>IF(A381&lt;=$F$3,E395+H395-K395,0)</f>
        <v>0</v>
      </c>
      <c r="O395" s="635">
        <f>IF(A381&lt;=$F$3,F395*Q395+G395*R395+H395*S395,0)</f>
        <v>0</v>
      </c>
      <c r="P395" s="636">
        <f>IF(A381&lt;=$F$3,I395*Q395+J395*R395+K395*S395,0)</f>
        <v>0</v>
      </c>
      <c r="Q395" s="637">
        <f t="shared" si="139"/>
        <v>52550.000000000044</v>
      </c>
      <c r="R395" s="638">
        <f t="shared" si="139"/>
        <v>81020.160000000062</v>
      </c>
      <c r="S395" s="639">
        <f t="shared" si="139"/>
        <v>84960.160000000062</v>
      </c>
      <c r="T395" s="637">
        <f>L395*$AH$6*AD$24</f>
        <v>0</v>
      </c>
      <c r="U395" s="640" t="e">
        <f>$AH$6*(1-AE$23)*((1+HLOOKUP($A$381,FC_Premissas!$D$5:$W$16,14,FALSE)^0.0833-1))*L395*12</f>
        <v>#REF!</v>
      </c>
      <c r="V395" s="638">
        <f>M395*$AP$6*AL$24</f>
        <v>0</v>
      </c>
      <c r="W395" s="669" t="e">
        <f>$AP$6*(1-AM$23)*((1+HLOOKUP($A$381,FC_Premissas!$D$5:$W$16,14,FALSE))^0.0833-1)*M395*12</f>
        <v>#REF!</v>
      </c>
      <c r="X395" s="637">
        <f>N395*$AX$6*AT$24</f>
        <v>0</v>
      </c>
      <c r="Y395" s="640" t="e">
        <f>$AX$6*(1-AU$23)*((1+HLOOKUP($A$381,FC_Premissas!$D$5:$W$16,14,FALSE))^0.0833-1)*N395*12</f>
        <v>#REF!</v>
      </c>
      <c r="Z395" s="638">
        <f t="shared" si="140"/>
        <v>0</v>
      </c>
      <c r="AA395" s="669" t="e">
        <f t="shared" si="140"/>
        <v>#REF!</v>
      </c>
      <c r="AB395" s="641"/>
    </row>
    <row r="396" spans="1:28" ht="11.25" hidden="1" customHeight="1" x14ac:dyDescent="0.2">
      <c r="A396" s="984"/>
      <c r="B396" s="633">
        <v>13</v>
      </c>
      <c r="C396" s="634">
        <f>IF(A381&lt;=$F$3,L370,0)</f>
        <v>0</v>
      </c>
      <c r="D396" s="598">
        <f>IF(A381&lt;=$F$3,M370,0)</f>
        <v>0</v>
      </c>
      <c r="E396" s="650">
        <f>IF(A381&lt;=$F$3,N370,0)</f>
        <v>0</v>
      </c>
      <c r="F396" s="634"/>
      <c r="G396" s="598"/>
      <c r="H396" s="598"/>
      <c r="I396" s="634"/>
      <c r="J396" s="598"/>
      <c r="K396" s="598">
        <v>0</v>
      </c>
      <c r="L396" s="634">
        <f>IF(A381&lt;=$F$3,C396+F396-I396,0)</f>
        <v>0</v>
      </c>
      <c r="M396" s="598">
        <f>IF(A381&lt;=$F$3,D396+G396-J396,0)</f>
        <v>0</v>
      </c>
      <c r="N396" s="598">
        <f>IF(A381&lt;=$F$3,E396+H396-K396,0)</f>
        <v>0</v>
      </c>
      <c r="O396" s="635">
        <f>IF(A381&lt;=$F$3,F396*Q396+G396*R396+H396*S396,0)</f>
        <v>0</v>
      </c>
      <c r="P396" s="636">
        <f>IF(A381&lt;=$F$3,I396*Q396+J396*R396+K396*S396,0)</f>
        <v>0</v>
      </c>
      <c r="Q396" s="637">
        <f t="shared" si="139"/>
        <v>52550.000000000044</v>
      </c>
      <c r="R396" s="638">
        <f t="shared" si="139"/>
        <v>81020.160000000062</v>
      </c>
      <c r="S396" s="639">
        <f t="shared" si="139"/>
        <v>84960.160000000062</v>
      </c>
      <c r="T396" s="637">
        <f>L396*$AH$6*AD$25</f>
        <v>0</v>
      </c>
      <c r="U396" s="640" t="e">
        <f>$AH$6*(1-AE$24)*((1+HLOOKUP($A$381,FC_Premissas!$D$5:$W$16,14,FALSE)^0.0833-1))*L396*12</f>
        <v>#REF!</v>
      </c>
      <c r="V396" s="638">
        <f>M396*$AP$6*AL$25</f>
        <v>0</v>
      </c>
      <c r="W396" s="669" t="e">
        <f>$AP$6*(1-AM$24)*((1+HLOOKUP($A$381,FC_Premissas!$D$5:$W$16,14,FALSE))^0.0833-1)*M396*12</f>
        <v>#REF!</v>
      </c>
      <c r="X396" s="637">
        <f>N396*$AX$6*AT$25</f>
        <v>0</v>
      </c>
      <c r="Y396" s="640" t="e">
        <f>$AX$6*(1-AU$24)*((1+HLOOKUP($A$381,FC_Premissas!$D$5:$W$16,14,FALSE))^0.0833-1)*N396*12</f>
        <v>#REF!</v>
      </c>
      <c r="Z396" s="638">
        <f t="shared" si="140"/>
        <v>0</v>
      </c>
      <c r="AA396" s="669" t="e">
        <f t="shared" si="140"/>
        <v>#REF!</v>
      </c>
      <c r="AB396" s="641"/>
    </row>
    <row r="397" spans="1:28" ht="11.25" hidden="1" customHeight="1" x14ac:dyDescent="0.2">
      <c r="A397" s="984"/>
      <c r="B397" s="633">
        <v>14</v>
      </c>
      <c r="C397" s="634">
        <f>IF(A381&lt;=$F$3,L371,0)</f>
        <v>0</v>
      </c>
      <c r="D397" s="598">
        <f>IF(A381&lt;=$F$3,M371,0)</f>
        <v>0</v>
      </c>
      <c r="E397" s="650">
        <f>IF(A381&lt;=$F$3,N371,0)</f>
        <v>0</v>
      </c>
      <c r="F397" s="634"/>
      <c r="G397" s="598"/>
      <c r="H397" s="598"/>
      <c r="I397" s="634"/>
      <c r="J397" s="598"/>
      <c r="K397" s="598"/>
      <c r="L397" s="634">
        <f>IF(A381&lt;=$F$3,C397+F397-I397,0)</f>
        <v>0</v>
      </c>
      <c r="M397" s="598">
        <f>IF(A381&lt;=$F$3,D397+G397-J397,0)</f>
        <v>0</v>
      </c>
      <c r="N397" s="598">
        <f>IF(A381&lt;=$F$3,E397+H397-K397,0)</f>
        <v>0</v>
      </c>
      <c r="O397" s="635">
        <f>IF(A381&lt;=$F$3,F397*Q397+G397*R397+H397*S397,0)</f>
        <v>0</v>
      </c>
      <c r="P397" s="636">
        <f>IF(A381&lt;=$F$3,I397*Q397+J397*R397+K397*S397,0)</f>
        <v>0</v>
      </c>
      <c r="Q397" s="637">
        <f t="shared" si="139"/>
        <v>52550.000000000044</v>
      </c>
      <c r="R397" s="638">
        <f t="shared" si="139"/>
        <v>81020.160000000062</v>
      </c>
      <c r="S397" s="639">
        <f t="shared" si="139"/>
        <v>84960.160000000062</v>
      </c>
      <c r="T397" s="637">
        <f>L397*$AH$6*AD$26</f>
        <v>0</v>
      </c>
      <c r="U397" s="640" t="e">
        <f>$AH$6*(1-AE$25)*((1+HLOOKUP($A$381,FC_Premissas!$D$5:$W$16,14,FALSE)^0.0833-1))*L397*12</f>
        <v>#REF!</v>
      </c>
      <c r="V397" s="638">
        <f>M397*$AP$6*AL$26</f>
        <v>0</v>
      </c>
      <c r="W397" s="669" t="e">
        <f>$AP$6*(1-AM$25)*((1+HLOOKUP($A$381,FC_Premissas!$D$5:$W$16,14,FALSE))^0.0833-1)*M397*12</f>
        <v>#REF!</v>
      </c>
      <c r="X397" s="637">
        <f>N397*$AX$6*AT$26</f>
        <v>0</v>
      </c>
      <c r="Y397" s="640" t="e">
        <f>$AX$6*(1-AU$25)*((1+HLOOKUP($A$381,FC_Premissas!$D$5:$W$16,14,FALSE))^0.0833-1)*N397*12</f>
        <v>#REF!</v>
      </c>
      <c r="Z397" s="638">
        <f t="shared" si="140"/>
        <v>0</v>
      </c>
      <c r="AA397" s="669" t="e">
        <f t="shared" si="140"/>
        <v>#REF!</v>
      </c>
      <c r="AB397" s="641"/>
    </row>
    <row r="398" spans="1:28" ht="11.25" hidden="1" customHeight="1" x14ac:dyDescent="0.2">
      <c r="A398" s="984"/>
      <c r="B398" s="633">
        <v>15</v>
      </c>
      <c r="C398" s="634">
        <f>IF(A381&lt;=$F$3,L372,0)</f>
        <v>0</v>
      </c>
      <c r="D398" s="598">
        <f>IF(A381&lt;=$F$3,M372,0)</f>
        <v>0</v>
      </c>
      <c r="E398" s="650">
        <f>IF(A381&lt;=$F$3,N372,0)</f>
        <v>0</v>
      </c>
      <c r="F398" s="634"/>
      <c r="G398" s="598"/>
      <c r="H398" s="598"/>
      <c r="I398" s="634"/>
      <c r="J398" s="598"/>
      <c r="K398" s="598"/>
      <c r="L398" s="634">
        <f>IF(A381&lt;=$F$3,C398+F398-I398,0)</f>
        <v>0</v>
      </c>
      <c r="M398" s="598">
        <f>IF(A381&lt;=$F$3,D398+G398-J398,0)</f>
        <v>0</v>
      </c>
      <c r="N398" s="598">
        <f>IF(A381&lt;=$F$3,E398+H398-K398,0)</f>
        <v>0</v>
      </c>
      <c r="O398" s="635">
        <f>IF(A381&lt;=$F$3,F398*Q398+G398*R398+H398*S398,0)</f>
        <v>0</v>
      </c>
      <c r="P398" s="636">
        <f>IF(A381&lt;=$F$3,I398*Q398+J398*R398+K398*S398,0)</f>
        <v>0</v>
      </c>
      <c r="Q398" s="637">
        <f t="shared" si="139"/>
        <v>52550.000000000044</v>
      </c>
      <c r="R398" s="638">
        <f t="shared" si="139"/>
        <v>81020.160000000062</v>
      </c>
      <c r="S398" s="639">
        <f t="shared" si="139"/>
        <v>84960.160000000062</v>
      </c>
      <c r="T398" s="637">
        <f t="shared" ref="T398:T403" si="141">L398*$AH$6*AD$27</f>
        <v>0</v>
      </c>
      <c r="U398" s="640" t="e">
        <f>$AH$6*(1-AE$26)*((1+HLOOKUP($A$381,FC_Premissas!$D$5:$W$16,14,FALSE)^0.0833-1))*L398*12</f>
        <v>#REF!</v>
      </c>
      <c r="V398" s="638">
        <f t="shared" ref="V398:V403" si="142">M398*$AP$6*AL$27</f>
        <v>0</v>
      </c>
      <c r="W398" s="669" t="e">
        <f>$AP$6*(1-AM$26)*((1+HLOOKUP($A$381,FC_Premissas!$D$5:$W$16,14,FALSE))^0.0833-1)*M398*12</f>
        <v>#REF!</v>
      </c>
      <c r="X398" s="637">
        <f t="shared" ref="X398:X403" si="143">N398*$AX$6*AT$27</f>
        <v>0</v>
      </c>
      <c r="Y398" s="640" t="e">
        <f>$AX$6*(1-AU$26)*((1+HLOOKUP($A$381,FC_Premissas!$D$5:$W$16,14,FALSE))^0.0833-1)*N398*12</f>
        <v>#REF!</v>
      </c>
      <c r="Z398" s="638">
        <f t="shared" si="140"/>
        <v>0</v>
      </c>
      <c r="AA398" s="640" t="e">
        <f t="shared" si="140"/>
        <v>#REF!</v>
      </c>
      <c r="AB398" s="641"/>
    </row>
    <row r="399" spans="1:28" hidden="1" x14ac:dyDescent="0.2">
      <c r="A399" s="984"/>
      <c r="B399" s="633">
        <v>16</v>
      </c>
      <c r="C399" s="634">
        <f>IF(A381&lt;=$F$3,L373,0)</f>
        <v>0</v>
      </c>
      <c r="D399" s="598">
        <f>IF(A381&lt;=$F$3,M373,0)</f>
        <v>0</v>
      </c>
      <c r="E399" s="650">
        <f>IF(A381&lt;=$F$3,N373,0)</f>
        <v>0</v>
      </c>
      <c r="F399" s="634"/>
      <c r="G399" s="598"/>
      <c r="H399" s="598"/>
      <c r="I399" s="634"/>
      <c r="J399" s="598"/>
      <c r="K399" s="598"/>
      <c r="L399" s="634">
        <f>IF(A381&lt;=$F$3,C399+F399-I399,0)</f>
        <v>0</v>
      </c>
      <c r="M399" s="598">
        <f>IF(A381&lt;=$F$3,D399+G399-J399,0)</f>
        <v>0</v>
      </c>
      <c r="N399" s="598">
        <f>IF(A381&lt;=$F$3,E399+H399-K399,0)</f>
        <v>0</v>
      </c>
      <c r="O399" s="635">
        <f>IF(A381&lt;=$F$3,F399*Q399+G399*R399+H399*S399,0)</f>
        <v>0</v>
      </c>
      <c r="P399" s="636">
        <f>IF(A381&lt;=$F$3,I399*Q399+J399*R399+K399*S399,0)</f>
        <v>0</v>
      </c>
      <c r="Q399" s="637">
        <f t="shared" ref="Q399:S403" si="144">Q374</f>
        <v>52550.000000000044</v>
      </c>
      <c r="R399" s="638">
        <f t="shared" si="144"/>
        <v>81020.160000000062</v>
      </c>
      <c r="S399" s="639">
        <f t="shared" si="144"/>
        <v>84960.160000000062</v>
      </c>
      <c r="T399" s="637">
        <f t="shared" si="141"/>
        <v>0</v>
      </c>
      <c r="U399" s="640" t="e">
        <f>$AH$6*(1-AE$27)*((1+HLOOKUP($A$381,FC_Premissas!$D$5:$W$16,14,FALSE)^0.0833-1))*L399*12</f>
        <v>#REF!</v>
      </c>
      <c r="V399" s="638">
        <f t="shared" si="142"/>
        <v>0</v>
      </c>
      <c r="W399" s="669" t="e">
        <f>$AP$6*(1-AM$27)*((1+HLOOKUP($A$381,FC_Premissas!$D$5:$W$16,14,FALSE))^0.0833-1)*M399*12</f>
        <v>#REF!</v>
      </c>
      <c r="X399" s="637">
        <f t="shared" si="143"/>
        <v>0</v>
      </c>
      <c r="Y399" s="640" t="e">
        <f>$AX$6*(1-AU$27)*((1+HLOOKUP($A$381,FC_Premissas!$D$5:$W$16,14,FALSE))^0.0833-1)*N399*12</f>
        <v>#REF!</v>
      </c>
      <c r="Z399" s="638">
        <f t="shared" si="140"/>
        <v>0</v>
      </c>
      <c r="AA399" s="640" t="e">
        <f t="shared" si="140"/>
        <v>#REF!</v>
      </c>
      <c r="AB399" s="641"/>
    </row>
    <row r="400" spans="1:28" hidden="1" x14ac:dyDescent="0.2">
      <c r="A400" s="984"/>
      <c r="B400" s="633">
        <v>17</v>
      </c>
      <c r="C400" s="634">
        <f>IF(A381&lt;=$F$3,L374,0)</f>
        <v>0</v>
      </c>
      <c r="D400" s="598">
        <f>IF(A381&lt;=$F$3,M374,0)</f>
        <v>0</v>
      </c>
      <c r="E400" s="650">
        <f>IF(A381&lt;=$F$3,N374,0)</f>
        <v>0</v>
      </c>
      <c r="F400" s="634"/>
      <c r="G400" s="598"/>
      <c r="H400" s="598"/>
      <c r="I400" s="634"/>
      <c r="J400" s="598"/>
      <c r="K400" s="598"/>
      <c r="L400" s="634">
        <f>IF(A381&lt;=$F$3,C400+F400-I400,0)</f>
        <v>0</v>
      </c>
      <c r="M400" s="598">
        <f>IF(A381&lt;=$F$3,D400+G400-J400,0)</f>
        <v>0</v>
      </c>
      <c r="N400" s="598">
        <f>IF(A381&lt;=$F$3,E400+H400-K400,0)</f>
        <v>0</v>
      </c>
      <c r="O400" s="635">
        <f>IF(A381&lt;=$F$3,F400*Q400+G400*R400+H400*S400,0)</f>
        <v>0</v>
      </c>
      <c r="P400" s="636">
        <f>IF(A381&lt;=$F$3,I400*Q400+J400*R400+K400*S400,0)</f>
        <v>0</v>
      </c>
      <c r="Q400" s="637">
        <f t="shared" si="144"/>
        <v>52550.000000000044</v>
      </c>
      <c r="R400" s="638">
        <f t="shared" si="144"/>
        <v>81020.160000000062</v>
      </c>
      <c r="S400" s="639">
        <f t="shared" si="144"/>
        <v>84960.160000000062</v>
      </c>
      <c r="T400" s="637">
        <f t="shared" si="141"/>
        <v>0</v>
      </c>
      <c r="U400" s="640" t="e">
        <f>$AH$6*(1-AE$28)*((1+HLOOKUP($A$381,FC_Premissas!$D$5:$W$16,14,FALSE)^0.0833-1))*L400*12</f>
        <v>#REF!</v>
      </c>
      <c r="V400" s="638">
        <f t="shared" si="142"/>
        <v>0</v>
      </c>
      <c r="W400" s="669" t="e">
        <f>$AP$6*(1-AM$28)*((1+HLOOKUP($A$381,FC_Premissas!$D$5:$W$16,14,FALSE))^0.0833-1)*M400*12</f>
        <v>#REF!</v>
      </c>
      <c r="X400" s="637">
        <f t="shared" si="143"/>
        <v>0</v>
      </c>
      <c r="Y400" s="640" t="e">
        <f>$AX$6*(1-AU$28)*((1+HLOOKUP($A$381,FC_Premissas!$D$5:$W$16,14,FALSE))^0.0833-1)*N400*12</f>
        <v>#REF!</v>
      </c>
      <c r="Z400" s="638">
        <f t="shared" si="140"/>
        <v>0</v>
      </c>
      <c r="AA400" s="640" t="e">
        <f t="shared" si="140"/>
        <v>#REF!</v>
      </c>
      <c r="AB400" s="641"/>
    </row>
    <row r="401" spans="1:28" hidden="1" x14ac:dyDescent="0.2">
      <c r="A401" s="984"/>
      <c r="B401" s="633">
        <v>18</v>
      </c>
      <c r="C401" s="634">
        <f>IF(A381&lt;=$F$3,L375,0)</f>
        <v>0</v>
      </c>
      <c r="D401" s="598">
        <f>IF(A381&lt;=$F$3,M375,0)</f>
        <v>0</v>
      </c>
      <c r="E401" s="650">
        <f>IF(A381&lt;=$F$3,N375,0)</f>
        <v>0</v>
      </c>
      <c r="F401" s="634"/>
      <c r="G401" s="598"/>
      <c r="H401" s="598"/>
      <c r="I401" s="634"/>
      <c r="J401" s="598"/>
      <c r="K401" s="598"/>
      <c r="L401" s="634">
        <f>IF(A381&lt;=$F$3,C401+F401-I401,0)</f>
        <v>0</v>
      </c>
      <c r="M401" s="598">
        <f>IF(A381&lt;=$F$3,D401+G401-J401,0)</f>
        <v>0</v>
      </c>
      <c r="N401" s="598">
        <f>IF(A381&lt;=$F$3,E401+H401-K401,0)</f>
        <v>0</v>
      </c>
      <c r="O401" s="635">
        <f>IF(A381&lt;=$F$3,F401*Q401+G401*R401+H401*S401,0)</f>
        <v>0</v>
      </c>
      <c r="P401" s="636">
        <f>IF(A381&lt;=$F$3,I401*Q401+J401*R401+K401*S401,0)</f>
        <v>0</v>
      </c>
      <c r="Q401" s="637">
        <f t="shared" si="144"/>
        <v>52550.000000000044</v>
      </c>
      <c r="R401" s="638">
        <f t="shared" si="144"/>
        <v>81020.160000000062</v>
      </c>
      <c r="S401" s="639">
        <f t="shared" si="144"/>
        <v>84960.160000000062</v>
      </c>
      <c r="T401" s="637">
        <f t="shared" si="141"/>
        <v>0</v>
      </c>
      <c r="U401" s="640" t="e">
        <f>$AH$6*(1-AE$29)*((1+HLOOKUP($A$381,FC_Premissas!$D$5:$W$16,14,FALSE)^0.0833-1))*L401*12</f>
        <v>#REF!</v>
      </c>
      <c r="V401" s="638">
        <f t="shared" si="142"/>
        <v>0</v>
      </c>
      <c r="W401" s="669" t="e">
        <f>$AP$6*(1-AM$29)*((1+HLOOKUP($A$381,FC_Premissas!$D$5:$W$16,14,FALSE))^0.0833-1)*M401*12</f>
        <v>#REF!</v>
      </c>
      <c r="X401" s="637">
        <f t="shared" si="143"/>
        <v>0</v>
      </c>
      <c r="Y401" s="640" t="e">
        <f>$AX$6*(1-AU$29)*((1+HLOOKUP($A$381,FC_Premissas!$D$5:$W$16,14,FALSE))^0.0833-1)*N401*12</f>
        <v>#REF!</v>
      </c>
      <c r="Z401" s="638">
        <f t="shared" si="140"/>
        <v>0</v>
      </c>
      <c r="AA401" s="640" t="e">
        <f t="shared" si="140"/>
        <v>#REF!</v>
      </c>
      <c r="AB401" s="641"/>
    </row>
    <row r="402" spans="1:28" hidden="1" x14ac:dyDescent="0.2">
      <c r="A402" s="984"/>
      <c r="B402" s="633">
        <v>19</v>
      </c>
      <c r="C402" s="634">
        <f>IF(A381&lt;=$F$3,L376,0)</f>
        <v>0</v>
      </c>
      <c r="D402" s="598">
        <f>IF(A381&lt;=$F$3,M376,0)</f>
        <v>0</v>
      </c>
      <c r="E402" s="650">
        <f>IF(A381&lt;=$F$3,N376,0)</f>
        <v>0</v>
      </c>
      <c r="F402" s="634"/>
      <c r="G402" s="598"/>
      <c r="H402" s="598"/>
      <c r="I402" s="634"/>
      <c r="J402" s="598"/>
      <c r="K402" s="598"/>
      <c r="L402" s="634">
        <f>IF(A381&lt;=$F$3,C402+F402-I402,0)</f>
        <v>0</v>
      </c>
      <c r="M402" s="598">
        <f>IF(A381&lt;=$F$3,D402+G402-J402,0)</f>
        <v>0</v>
      </c>
      <c r="N402" s="598">
        <f>IF(A381&lt;=$F$3,E402+H402-K402,0)</f>
        <v>0</v>
      </c>
      <c r="O402" s="635">
        <f>IF(A381&lt;=$F$3,F402*Q402+G402*R402+H402*S402,0)</f>
        <v>0</v>
      </c>
      <c r="P402" s="636">
        <f>IF(A381&lt;=$F$3,I402*Q402+J402*R402+K402*S402,0)</f>
        <v>0</v>
      </c>
      <c r="Q402" s="637">
        <f t="shared" si="144"/>
        <v>52550.000000000044</v>
      </c>
      <c r="R402" s="638">
        <f t="shared" si="144"/>
        <v>81020.160000000062</v>
      </c>
      <c r="S402" s="639">
        <f t="shared" si="144"/>
        <v>84960.160000000062</v>
      </c>
      <c r="T402" s="637">
        <f t="shared" si="141"/>
        <v>0</v>
      </c>
      <c r="U402" s="640" t="e">
        <f>$AH$6*(1-AE$30)*((1+HLOOKUP($A$381,FC_Premissas!$D$5:$W$16,14,FALSE)^0.0833-1))*L402*12</f>
        <v>#REF!</v>
      </c>
      <c r="V402" s="638">
        <f t="shared" si="142"/>
        <v>0</v>
      </c>
      <c r="W402" s="669" t="e">
        <f>$AP$6*(1-AM$30)*((1+HLOOKUP($A$381,FC_Premissas!$D$5:$W$16,14,FALSE))^0.0833-1)*M402*12</f>
        <v>#REF!</v>
      </c>
      <c r="X402" s="637">
        <f t="shared" si="143"/>
        <v>0</v>
      </c>
      <c r="Y402" s="640" t="e">
        <f>$AX$6*(1-AU$30)*((1+HLOOKUP($A$381,FC_Premissas!$D$5:$W$16,14,FALSE))^0.0833-1)*N402*12</f>
        <v>#REF!</v>
      </c>
      <c r="Z402" s="638">
        <f t="shared" si="140"/>
        <v>0</v>
      </c>
      <c r="AA402" s="640" t="e">
        <f t="shared" si="140"/>
        <v>#REF!</v>
      </c>
      <c r="AB402" s="641"/>
    </row>
    <row r="403" spans="1:28" hidden="1" x14ac:dyDescent="0.2">
      <c r="A403" s="984"/>
      <c r="B403" s="633">
        <v>20</v>
      </c>
      <c r="C403" s="616">
        <f>IF(A381&lt;=$F$3,L377,0)</f>
        <v>0</v>
      </c>
      <c r="D403" s="617">
        <f>IF(A381&lt;=$F$3,M377,0)</f>
        <v>0</v>
      </c>
      <c r="E403" s="650">
        <f>IF(A381&lt;=$F$3,N377,0)</f>
        <v>0</v>
      </c>
      <c r="F403" s="616"/>
      <c r="G403" s="617"/>
      <c r="H403" s="598"/>
      <c r="I403" s="616"/>
      <c r="J403" s="617"/>
      <c r="K403" s="598"/>
      <c r="L403" s="616">
        <f>IF(A381&lt;=$F$3,C403+F403-I403,0)</f>
        <v>0</v>
      </c>
      <c r="M403" s="617">
        <f>IF(A381&lt;=$F$3,D403+G403-J403,0)</f>
        <v>0</v>
      </c>
      <c r="N403" s="598">
        <f>IF(A381&lt;=$F$3,E403+H403-K403,0)</f>
        <v>0</v>
      </c>
      <c r="O403" s="635">
        <f>IF(A381&lt;=$F$3,F403*Q403+G403*R403+H403*S403,0)</f>
        <v>0</v>
      </c>
      <c r="P403" s="636">
        <f>IF(A381&lt;=$F$3,I403*Q403+J403*R403+K403*S403,0)</f>
        <v>0</v>
      </c>
      <c r="Q403" s="651">
        <f t="shared" si="144"/>
        <v>52550.000000000044</v>
      </c>
      <c r="R403" s="652">
        <f t="shared" si="144"/>
        <v>81020.160000000062</v>
      </c>
      <c r="S403" s="653">
        <f t="shared" si="144"/>
        <v>84960.160000000062</v>
      </c>
      <c r="T403" s="651">
        <f t="shared" si="141"/>
        <v>0</v>
      </c>
      <c r="U403" s="654" t="e">
        <f>$AH$6*(1-AE$31)*((1+HLOOKUP($A$381,FC_Premissas!$D$5:$W$16,14,FALSE)^0.0833-1))*L403*12</f>
        <v>#REF!</v>
      </c>
      <c r="V403" s="652">
        <f t="shared" si="142"/>
        <v>0</v>
      </c>
      <c r="W403" s="678" t="e">
        <f>$AP$6*(1-AM$31)*((1+HLOOKUP($A$381,FC_Premissas!$D$5:$W$16,14,FALSE))^0.0833-1)*M403*12</f>
        <v>#REF!</v>
      </c>
      <c r="X403" s="651">
        <f t="shared" si="143"/>
        <v>0</v>
      </c>
      <c r="Y403" s="654" t="e">
        <f>$AX$6*(1-AU$31)*((1+HLOOKUP($A$381,FC_Premissas!$D$5:$W$16,14,FALSE))^0.0833-1)*N403*12</f>
        <v>#REF!</v>
      </c>
      <c r="Z403" s="652">
        <f t="shared" si="140"/>
        <v>0</v>
      </c>
      <c r="AA403" s="654" t="e">
        <f t="shared" si="140"/>
        <v>#REF!</v>
      </c>
      <c r="AB403" s="641"/>
    </row>
    <row r="404" spans="1:28" hidden="1" x14ac:dyDescent="0.2">
      <c r="A404" s="984"/>
      <c r="B404" s="655" t="s">
        <v>1228</v>
      </c>
      <c r="C404" s="656">
        <f t="shared" ref="C404:P404" si="145">SUM(C383:C403)</f>
        <v>0</v>
      </c>
      <c r="D404" s="657">
        <f t="shared" si="145"/>
        <v>0</v>
      </c>
      <c r="E404" s="658">
        <f t="shared" si="145"/>
        <v>0</v>
      </c>
      <c r="F404" s="656">
        <f t="shared" si="145"/>
        <v>0</v>
      </c>
      <c r="G404" s="657">
        <f t="shared" si="145"/>
        <v>0</v>
      </c>
      <c r="H404" s="658">
        <f t="shared" si="145"/>
        <v>0</v>
      </c>
      <c r="I404" s="656">
        <f t="shared" si="145"/>
        <v>0</v>
      </c>
      <c r="J404" s="657">
        <f t="shared" si="145"/>
        <v>0</v>
      </c>
      <c r="K404" s="658">
        <f t="shared" si="145"/>
        <v>0</v>
      </c>
      <c r="L404" s="656">
        <f t="shared" si="145"/>
        <v>0</v>
      </c>
      <c r="M404" s="657">
        <f t="shared" si="145"/>
        <v>0</v>
      </c>
      <c r="N404" s="657">
        <f t="shared" si="145"/>
        <v>0</v>
      </c>
      <c r="O404" s="659">
        <f t="shared" si="145"/>
        <v>0</v>
      </c>
      <c r="P404" s="660">
        <f t="shared" si="145"/>
        <v>0</v>
      </c>
      <c r="Q404" s="638"/>
      <c r="R404" s="638"/>
      <c r="S404" s="638"/>
      <c r="T404" s="661">
        <f t="shared" ref="T404:AA404" si="146">SUM(T383:T403)</f>
        <v>0</v>
      </c>
      <c r="U404" s="662" t="e">
        <f t="shared" si="146"/>
        <v>#REF!</v>
      </c>
      <c r="V404" s="663">
        <f t="shared" si="146"/>
        <v>0</v>
      </c>
      <c r="W404" s="662" t="e">
        <f t="shared" si="146"/>
        <v>#REF!</v>
      </c>
      <c r="X404" s="663">
        <f t="shared" si="146"/>
        <v>0</v>
      </c>
      <c r="Y404" s="662" t="e">
        <f t="shared" si="146"/>
        <v>#REF!</v>
      </c>
      <c r="Z404" s="663">
        <f t="shared" si="146"/>
        <v>0</v>
      </c>
      <c r="AA404" s="664" t="e">
        <f t="shared" si="146"/>
        <v>#REF!</v>
      </c>
      <c r="AB404" s="641"/>
    </row>
    <row r="405" spans="1:28" hidden="1" x14ac:dyDescent="0.2">
      <c r="A405" s="985"/>
      <c r="B405" s="977" t="s">
        <v>1229</v>
      </c>
      <c r="C405" s="977"/>
      <c r="D405" s="977"/>
      <c r="E405" s="666" t="e">
        <f>(L405*L404+M405*M404+N405*N404)/(L404+M404+N404)</f>
        <v>#DIV/0!</v>
      </c>
      <c r="F405" s="665" t="s">
        <v>140</v>
      </c>
      <c r="G405" s="665"/>
      <c r="H405" s="665"/>
      <c r="I405" s="665"/>
      <c r="J405" s="665"/>
      <c r="K405" s="665"/>
      <c r="L405" s="887">
        <f>IF(L404=0,0,(SUMPRODUCT(L383:L403,$B383:$B403)/L404))</f>
        <v>0</v>
      </c>
      <c r="M405" s="887">
        <f>IF(M404=0,0,(SUMPRODUCT(M383:M403,$B383:$B403)/M404))</f>
        <v>0</v>
      </c>
      <c r="N405" s="887">
        <f>IF(N404=0,0,ROUND(SUMPRODUCT(N383:N403,$B383:$B403)/N404,0))</f>
        <v>0</v>
      </c>
      <c r="O405" s="667"/>
      <c r="P405" s="668"/>
      <c r="Q405" s="638"/>
      <c r="R405" s="638"/>
      <c r="S405" s="638"/>
      <c r="T405" s="638"/>
      <c r="U405" s="669"/>
      <c r="V405" s="638"/>
      <c r="W405" s="669"/>
      <c r="X405" s="638"/>
      <c r="Y405" s="669"/>
      <c r="Z405" s="638"/>
      <c r="AA405" s="669"/>
    </row>
    <row r="406" spans="1:28" ht="12.75" hidden="1" customHeight="1" x14ac:dyDescent="0.2">
      <c r="A406" s="983">
        <f>A381+1</f>
        <v>17</v>
      </c>
      <c r="B406" s="986" t="s">
        <v>1077</v>
      </c>
      <c r="C406" s="988" t="s">
        <v>1202</v>
      </c>
      <c r="D406" s="989"/>
      <c r="E406" s="990"/>
      <c r="F406" s="991" t="s">
        <v>1203</v>
      </c>
      <c r="G406" s="992"/>
      <c r="H406" s="993"/>
      <c r="I406" s="991" t="s">
        <v>1204</v>
      </c>
      <c r="J406" s="992"/>
      <c r="K406" s="993"/>
      <c r="L406" s="991" t="s">
        <v>1205</v>
      </c>
      <c r="M406" s="992"/>
      <c r="N406" s="992"/>
      <c r="O406" s="978" t="s">
        <v>1206</v>
      </c>
      <c r="P406" s="979"/>
      <c r="Q406" s="980" t="s">
        <v>1207</v>
      </c>
      <c r="R406" s="981"/>
      <c r="S406" s="982"/>
      <c r="T406" s="607" t="s">
        <v>1208</v>
      </c>
      <c r="U406" s="609" t="s">
        <v>1209</v>
      </c>
      <c r="V406" s="608" t="s">
        <v>1210</v>
      </c>
      <c r="W406" s="610" t="s">
        <v>1211</v>
      </c>
      <c r="X406" s="607" t="s">
        <v>1210</v>
      </c>
      <c r="Y406" s="609" t="s">
        <v>1211</v>
      </c>
      <c r="Z406" s="607" t="s">
        <v>1210</v>
      </c>
      <c r="AA406" s="609" t="s">
        <v>1211</v>
      </c>
    </row>
    <row r="407" spans="1:28" hidden="1" x14ac:dyDescent="0.2">
      <c r="A407" s="984"/>
      <c r="B407" s="987"/>
      <c r="C407" s="616" t="str">
        <f>$C$7</f>
        <v>Mini</v>
      </c>
      <c r="D407" s="617" t="str">
        <f>$D$7</f>
        <v>Midi</v>
      </c>
      <c r="E407" s="617" t="str">
        <f>$E$7</f>
        <v>Básico</v>
      </c>
      <c r="F407" s="616" t="str">
        <f>$C$7</f>
        <v>Mini</v>
      </c>
      <c r="G407" s="617" t="str">
        <f>$D$7</f>
        <v>Midi</v>
      </c>
      <c r="H407" s="617" t="str">
        <f>$E$7</f>
        <v>Básico</v>
      </c>
      <c r="I407" s="616" t="str">
        <f>$C$7</f>
        <v>Mini</v>
      </c>
      <c r="J407" s="617" t="str">
        <f>$D$7</f>
        <v>Midi</v>
      </c>
      <c r="K407" s="617" t="str">
        <f>$E$7</f>
        <v>Básico</v>
      </c>
      <c r="L407" s="616" t="str">
        <f>$C$7</f>
        <v>Mini</v>
      </c>
      <c r="M407" s="617" t="str">
        <f>$D$7</f>
        <v>Midi</v>
      </c>
      <c r="N407" s="617" t="str">
        <f>$E$7</f>
        <v>Básico</v>
      </c>
      <c r="O407" s="667" t="s">
        <v>1203</v>
      </c>
      <c r="P407" s="668" t="s">
        <v>1204</v>
      </c>
      <c r="Q407" s="620" t="str">
        <f>C407</f>
        <v>Mini</v>
      </c>
      <c r="R407" s="621" t="str">
        <f>D407</f>
        <v>Midi</v>
      </c>
      <c r="S407" s="622" t="str">
        <f>E407</f>
        <v>Básico</v>
      </c>
      <c r="T407" s="623" t="str">
        <f>C407</f>
        <v>Mini</v>
      </c>
      <c r="U407" s="624" t="str">
        <f>C407</f>
        <v>Mini</v>
      </c>
      <c r="V407" s="625" t="str">
        <f>D407</f>
        <v>Midi</v>
      </c>
      <c r="W407" s="626" t="str">
        <f>D407</f>
        <v>Midi</v>
      </c>
      <c r="X407" s="623" t="str">
        <f>E407</f>
        <v>Básico</v>
      </c>
      <c r="Y407" s="624" t="str">
        <f>E407</f>
        <v>Básico</v>
      </c>
      <c r="Z407" s="627" t="s">
        <v>1218</v>
      </c>
      <c r="AA407" s="628" t="s">
        <v>1218</v>
      </c>
    </row>
    <row r="408" spans="1:28" hidden="1" x14ac:dyDescent="0.2">
      <c r="A408" s="984"/>
      <c r="B408" s="633">
        <v>0</v>
      </c>
      <c r="C408" s="634">
        <v>0</v>
      </c>
      <c r="F408" s="679"/>
      <c r="G408" s="680"/>
      <c r="H408" s="680"/>
      <c r="I408" s="679"/>
      <c r="J408" s="680"/>
      <c r="K408" s="680"/>
      <c r="L408" s="634">
        <f>IF(A406&lt;=$F$3,C408+F408-I408,0)</f>
        <v>0</v>
      </c>
      <c r="M408" s="598">
        <f>IF(A406&lt;=$F$3,D408+G408-J408,0)</f>
        <v>0</v>
      </c>
      <c r="N408" s="598">
        <f>IF(A406&lt;=$F$3,E408+H408-K408,0)</f>
        <v>0</v>
      </c>
      <c r="O408" s="635">
        <f>IF(A406&lt;=$F$3,F408*Q408+G408*R408+H408*S408,0)</f>
        <v>0</v>
      </c>
      <c r="P408" s="636">
        <f>IF(A406&lt;=$F$3,I408*Q408+J408*R408+K408*S408,0)</f>
        <v>0</v>
      </c>
      <c r="Q408" s="637">
        <f t="shared" ref="Q408:S423" si="147">Q383</f>
        <v>525500</v>
      </c>
      <c r="R408" s="638">
        <f t="shared" si="147"/>
        <v>703800</v>
      </c>
      <c r="S408" s="639">
        <f t="shared" si="147"/>
        <v>743200</v>
      </c>
      <c r="T408" s="637">
        <f>L408*$AH$6*AD$12</f>
        <v>0</v>
      </c>
      <c r="U408" s="640" t="e">
        <f>$AH$6*(1-AE$11)*((1+HLOOKUP($A$406,FC_Premissas!$D$5:$W$16,14,FALSE)^0.0833-1))*L408*12</f>
        <v>#REF!</v>
      </c>
      <c r="V408" s="638">
        <f>M408*$AP$6*AL$12</f>
        <v>0</v>
      </c>
      <c r="W408" s="669" t="e">
        <f>$AP$6*(1-AM$11)*((1+HLOOKUP($A$406,FC_Premissas!$D$5:$W$16,14,FALSE)^0.0833-1))*M408*12</f>
        <v>#REF!</v>
      </c>
      <c r="X408" s="637">
        <f>N408*$AX$6*AT$12</f>
        <v>0</v>
      </c>
      <c r="Y408" s="640" t="e">
        <f>$AX$6*(1-AU$11)*((1+HLOOKUP($A$406,FC_Premissas!$D$5:$W$16,14,FALSE)^0.0833-1))*N408*12</f>
        <v>#REF!</v>
      </c>
      <c r="Z408" s="638">
        <f t="shared" ref="Z408:AA428" si="148">T408+V408+X408</f>
        <v>0</v>
      </c>
      <c r="AA408" s="669" t="e">
        <f t="shared" si="148"/>
        <v>#REF!</v>
      </c>
      <c r="AB408" s="641"/>
    </row>
    <row r="409" spans="1:28" hidden="1" x14ac:dyDescent="0.2">
      <c r="A409" s="984"/>
      <c r="B409" s="633">
        <v>1</v>
      </c>
      <c r="C409" s="634">
        <f>IF(A406&lt;=$F$3,L383,0)</f>
        <v>0</v>
      </c>
      <c r="D409" s="598">
        <f>IF(A406&lt;=$F$3,M383,0)</f>
        <v>0</v>
      </c>
      <c r="E409" s="598">
        <f>IF(A406&lt;=$F$3,N383,0)</f>
        <v>0</v>
      </c>
      <c r="F409" s="679"/>
      <c r="G409" s="680"/>
      <c r="H409" s="680"/>
      <c r="I409" s="681"/>
      <c r="J409" s="680"/>
      <c r="K409" s="680"/>
      <c r="L409" s="634">
        <f>IF(A406&lt;=$F$3,C409+F409-I409,0)</f>
        <v>0</v>
      </c>
      <c r="M409" s="598">
        <f>IF(A406&lt;=$F$3,D409+G409-J409,0)</f>
        <v>0</v>
      </c>
      <c r="N409" s="598">
        <f>IF(A406&lt;=$F$3,E409+H409-K409,0)</f>
        <v>0</v>
      </c>
      <c r="O409" s="635">
        <f>IF(A406&lt;=$F$3,F409*Q409+G409*R409+H409*S409,0)</f>
        <v>0</v>
      </c>
      <c r="P409" s="636">
        <f>IF(A406&lt;=$F$3,I409*Q409+J409*R409+K409*S409,0)</f>
        <v>0</v>
      </c>
      <c r="Q409" s="637">
        <f t="shared" si="147"/>
        <v>439509.09090909094</v>
      </c>
      <c r="R409" s="638">
        <f t="shared" si="147"/>
        <v>590567.30181818188</v>
      </c>
      <c r="S409" s="639">
        <f t="shared" si="147"/>
        <v>623520.02909090917</v>
      </c>
      <c r="T409" s="637">
        <f>L409*$AH$6*AD$13</f>
        <v>0</v>
      </c>
      <c r="U409" s="640" t="e">
        <f>$AH$6*(1-AE$12)*((1+HLOOKUP($A$406,FC_Premissas!$D$5:$W$16,14,FALSE)^0.0833-1))*L409*12</f>
        <v>#REF!</v>
      </c>
      <c r="V409" s="638">
        <f>M409*$AP$6*AL$13</f>
        <v>0</v>
      </c>
      <c r="W409" s="669" t="e">
        <f>$AP$6*(1-AM$12)*((1+HLOOKUP($A$406,FC_Premissas!$D$5:$W$16,14,FALSE))^0.0833-1)*M409*12</f>
        <v>#REF!</v>
      </c>
      <c r="X409" s="637">
        <f>N409*$AX$6*AT$13</f>
        <v>0</v>
      </c>
      <c r="Y409" s="640" t="e">
        <f>$AX$6*(1-AU$12)*((1+HLOOKUP($A$406,FC_Premissas!$D$5:$W$16,14,FALSE))^0.0833-1)*N409*12</f>
        <v>#REF!</v>
      </c>
      <c r="Z409" s="638">
        <f t="shared" si="148"/>
        <v>0</v>
      </c>
      <c r="AA409" s="669" t="e">
        <f t="shared" si="148"/>
        <v>#REF!</v>
      </c>
      <c r="AB409" s="641"/>
    </row>
    <row r="410" spans="1:28" hidden="1" x14ac:dyDescent="0.2">
      <c r="A410" s="984"/>
      <c r="B410" s="633">
        <v>2</v>
      </c>
      <c r="C410" s="634">
        <f>IF(A406&lt;=$F$3,L384,0)</f>
        <v>0</v>
      </c>
      <c r="D410" s="598">
        <f>IF(A406&lt;=$F$3,M384,0)</f>
        <v>0</v>
      </c>
      <c r="E410" s="598">
        <f>IF(A406&lt;=$F$3,N384,0)</f>
        <v>0</v>
      </c>
      <c r="F410" s="679"/>
      <c r="G410" s="680"/>
      <c r="H410" s="680"/>
      <c r="I410" s="679"/>
      <c r="J410" s="680"/>
      <c r="K410" s="680"/>
      <c r="L410" s="634">
        <f>IF(A406&lt;=$F$3,C410+F410-I410,0)</f>
        <v>0</v>
      </c>
      <c r="M410" s="598">
        <f>IF(A406&lt;=$F$3,D410+G410-J410,0)</f>
        <v>0</v>
      </c>
      <c r="N410" s="598">
        <f>IF(A406&lt;=$F$3,E410+H410-K410,0)</f>
        <v>0</v>
      </c>
      <c r="O410" s="635">
        <f>IF(A406&lt;=$F$3,F410*Q410+G410*R410+H410*S410,0)</f>
        <v>0</v>
      </c>
      <c r="P410" s="636">
        <f>IF(A406&lt;=$F$3,I410*Q410+J410*R410+K410*S410,0)</f>
        <v>0</v>
      </c>
      <c r="Q410" s="637">
        <f t="shared" si="147"/>
        <v>362117.27272727271</v>
      </c>
      <c r="R410" s="638">
        <f t="shared" si="147"/>
        <v>488657.87345454545</v>
      </c>
      <c r="S410" s="639">
        <f t="shared" si="147"/>
        <v>515808.05527272727</v>
      </c>
      <c r="T410" s="637">
        <f>L410*$AH$6*AD$14</f>
        <v>0</v>
      </c>
      <c r="U410" s="640" t="e">
        <f>$AH$6*(1-AE$13)*((1+HLOOKUP($A$406,FC_Premissas!$D$5:$W$16,14,FALSE)^0.0833-1))*L410*12</f>
        <v>#REF!</v>
      </c>
      <c r="V410" s="638">
        <f>M410*$AP$6*AL$14</f>
        <v>0</v>
      </c>
      <c r="W410" s="669" t="e">
        <f>$AP$6*(1-AM$13)*((1+HLOOKUP($A$406,FC_Premissas!$D$5:$W$16,14,FALSE))^0.0833-1)*M410*12</f>
        <v>#REF!</v>
      </c>
      <c r="X410" s="637">
        <f>N410*$AX$6*AT$14</f>
        <v>0</v>
      </c>
      <c r="Y410" s="640" t="e">
        <f>$AX$6*(1-AU$13)*((1+HLOOKUP($A$406,FC_Premissas!$D$5:$W$16,14,FALSE))^0.0833-1)*N410*12</f>
        <v>#REF!</v>
      </c>
      <c r="Z410" s="638">
        <f t="shared" si="148"/>
        <v>0</v>
      </c>
      <c r="AA410" s="669" t="e">
        <f t="shared" si="148"/>
        <v>#REF!</v>
      </c>
      <c r="AB410" s="641"/>
    </row>
    <row r="411" spans="1:28" hidden="1" x14ac:dyDescent="0.2">
      <c r="A411" s="984"/>
      <c r="B411" s="633">
        <v>3</v>
      </c>
      <c r="C411" s="634">
        <f>IF(A406&lt;=$F$3,L385,0)</f>
        <v>0</v>
      </c>
      <c r="D411" s="598">
        <f>IF(A406&lt;=$F$3,M385,0)</f>
        <v>0</v>
      </c>
      <c r="E411" s="598">
        <f>IF(A406&lt;=$F$3,N385,0)</f>
        <v>0</v>
      </c>
      <c r="F411" s="679"/>
      <c r="G411" s="680"/>
      <c r="H411" s="680"/>
      <c r="I411" s="679"/>
      <c r="J411" s="680"/>
      <c r="K411" s="680"/>
      <c r="L411" s="634">
        <f>IF(A406&lt;=$F$3,C411+F411-I411,0)</f>
        <v>0</v>
      </c>
      <c r="M411" s="598">
        <f>IF(A406&lt;=$F$3,D411+G411-J411,0)</f>
        <v>0</v>
      </c>
      <c r="N411" s="598">
        <f>IF(A406&lt;=$F$3,E411+H411-K411,0)</f>
        <v>0</v>
      </c>
      <c r="O411" s="635">
        <f>IF(A406&lt;=$F$3,F411*Q411+G411*R411+H411*S411,0)</f>
        <v>0</v>
      </c>
      <c r="P411" s="636">
        <f>IF(A406&lt;=$F$3,I411*Q411+J411*R411+K411*S411,0)</f>
        <v>0</v>
      </c>
      <c r="Q411" s="637">
        <f t="shared" si="147"/>
        <v>293324.54545454541</v>
      </c>
      <c r="R411" s="638">
        <f t="shared" si="147"/>
        <v>398071.71490909089</v>
      </c>
      <c r="S411" s="639">
        <f t="shared" si="147"/>
        <v>420064.07854545448</v>
      </c>
      <c r="T411" s="637">
        <f>L411*$AH$6*AD$15</f>
        <v>0</v>
      </c>
      <c r="U411" s="640" t="e">
        <f>$AH$6*(1-AE$14)*((1+HLOOKUP($A$406,FC_Premissas!$D$5:$W$16,14,FALSE)^0.0833-1))*L411*12</f>
        <v>#REF!</v>
      </c>
      <c r="V411" s="638">
        <f>M411*$AP$6*AL$15</f>
        <v>0</v>
      </c>
      <c r="W411" s="669" t="e">
        <f>$AP$6*(1-AM$14)*((1+HLOOKUP($A$406,FC_Premissas!$D$5:$W$16,14,FALSE))^0.0833-1)*M411*12</f>
        <v>#REF!</v>
      </c>
      <c r="X411" s="637">
        <f>N411*$AX$6*AT$15</f>
        <v>0</v>
      </c>
      <c r="Y411" s="640" t="e">
        <f>$AX$6*(1-AU$14)*((1+HLOOKUP($A$406,FC_Premissas!$D$5:$W$16,14,FALSE))^0.0833-1)*N411*12</f>
        <v>#REF!</v>
      </c>
      <c r="Z411" s="638">
        <f t="shared" si="148"/>
        <v>0</v>
      </c>
      <c r="AA411" s="669" t="e">
        <f t="shared" si="148"/>
        <v>#REF!</v>
      </c>
      <c r="AB411" s="641"/>
    </row>
    <row r="412" spans="1:28" hidden="1" x14ac:dyDescent="0.2">
      <c r="A412" s="984"/>
      <c r="B412" s="633">
        <v>4</v>
      </c>
      <c r="C412" s="634">
        <f>IF(A406&lt;=$F$3,L386,0)</f>
        <v>0</v>
      </c>
      <c r="D412" s="598">
        <f>IF(A406&lt;=$F$3,M386,0)</f>
        <v>0</v>
      </c>
      <c r="E412" s="598">
        <f>IF(A406&lt;=$F$3,N386,0)</f>
        <v>0</v>
      </c>
      <c r="F412" s="679"/>
      <c r="G412" s="680"/>
      <c r="H412" s="680"/>
      <c r="I412" s="679"/>
      <c r="J412" s="680"/>
      <c r="K412" s="680"/>
      <c r="L412" s="634">
        <f>IF(A406&lt;=$F$3,C412+F412-I412,0)</f>
        <v>0</v>
      </c>
      <c r="M412" s="598">
        <f>IF(A406&lt;=$F$3,D412+G412-J412,0)</f>
        <v>0</v>
      </c>
      <c r="N412" s="598">
        <f>IF(A406&lt;=$F$3,E412+H412-K412,0)</f>
        <v>0</v>
      </c>
      <c r="O412" s="635">
        <f>IF(A406&lt;=$F$3,F412*Q412+G412*R412+H412*S412,0)</f>
        <v>0</v>
      </c>
      <c r="P412" s="636">
        <f>IF(A406&lt;=$F$3,I412*Q412+J412*R412+K412*S412,0)</f>
        <v>0</v>
      </c>
      <c r="Q412" s="637">
        <f t="shared" si="147"/>
        <v>233130.90909090909</v>
      </c>
      <c r="R412" s="638">
        <f t="shared" si="147"/>
        <v>318808.82618181815</v>
      </c>
      <c r="S412" s="639">
        <f t="shared" si="147"/>
        <v>336288.09890909091</v>
      </c>
      <c r="T412" s="637">
        <f>L412*$AH$6*AD$16</f>
        <v>0</v>
      </c>
      <c r="U412" s="640" t="e">
        <f>$AH$6*(1-AE$15)*((1+HLOOKUP($A$406,FC_Premissas!$D$5:$W$16,14,FALSE)^0.0833-1))*L412*12</f>
        <v>#REF!</v>
      </c>
      <c r="V412" s="638">
        <f>M412*$AP$6*AL$16</f>
        <v>0</v>
      </c>
      <c r="W412" s="669" t="e">
        <f>$AP$6*(1-AM$15)*((1+HLOOKUP($A$406,FC_Premissas!$D$5:$W$16,14,FALSE))^0.0833-1)*M412*12</f>
        <v>#REF!</v>
      </c>
      <c r="X412" s="637">
        <f>N412*$AX$6*AT$16</f>
        <v>0</v>
      </c>
      <c r="Y412" s="640" t="e">
        <f>$AX$6*(1-AU$15)*((1+HLOOKUP($A$406,FC_Premissas!$D$5:$W$16,14,FALSE))^0.0833-1)*N412*12</f>
        <v>#REF!</v>
      </c>
      <c r="Z412" s="638">
        <f t="shared" si="148"/>
        <v>0</v>
      </c>
      <c r="AA412" s="669" t="e">
        <f t="shared" si="148"/>
        <v>#REF!</v>
      </c>
      <c r="AB412" s="641"/>
    </row>
    <row r="413" spans="1:28" hidden="1" x14ac:dyDescent="0.2">
      <c r="A413" s="984"/>
      <c r="B413" s="633">
        <v>5</v>
      </c>
      <c r="C413" s="634">
        <f>IF(A406&lt;=$F$3,L387,0)</f>
        <v>0</v>
      </c>
      <c r="D413" s="598">
        <f>IF(A406&lt;=$F$3,M387,0)</f>
        <v>0</v>
      </c>
      <c r="E413" s="598">
        <f>IF(A406&lt;=$F$3,N387,0)</f>
        <v>0</v>
      </c>
      <c r="F413" s="679"/>
      <c r="G413" s="680"/>
      <c r="H413" s="680"/>
      <c r="I413" s="679"/>
      <c r="J413" s="680"/>
      <c r="K413" s="680"/>
      <c r="L413" s="634">
        <f>IF(A406&lt;=$F$3,C413+F413-I413,0)</f>
        <v>0</v>
      </c>
      <c r="M413" s="598">
        <f>IF(A406&lt;=$F$3,D413+G413-J413,0)</f>
        <v>0</v>
      </c>
      <c r="N413" s="598">
        <f>IF(A406&lt;=$F$3,E413+H413-K413,0)</f>
        <v>0</v>
      </c>
      <c r="O413" s="635">
        <f>IF(A406&lt;=$F$3,F413*Q413+G413*R413+H413*S413,0)</f>
        <v>0</v>
      </c>
      <c r="P413" s="636">
        <f>IF(A406&lt;=$F$3,I413*Q413+J413*R413+K413*S413,0)</f>
        <v>0</v>
      </c>
      <c r="Q413" s="637">
        <f t="shared" si="147"/>
        <v>181536.36363636365</v>
      </c>
      <c r="R413" s="638">
        <f t="shared" si="147"/>
        <v>250869.20727272728</v>
      </c>
      <c r="S413" s="639">
        <f t="shared" si="147"/>
        <v>264480.11636363639</v>
      </c>
      <c r="T413" s="637">
        <f>L413*$AH$6*AD$17</f>
        <v>0</v>
      </c>
      <c r="U413" s="640" t="e">
        <f>$AH$6*(1-AE$16)*((1+HLOOKUP($A$406,FC_Premissas!$D$5:$W$16,14,FALSE)^0.0833-1))*L413*12</f>
        <v>#REF!</v>
      </c>
      <c r="V413" s="638">
        <f>M413*$AP$6*AL$17</f>
        <v>0</v>
      </c>
      <c r="W413" s="669" t="e">
        <f>$AP$6*(1-AM$16)*((1+HLOOKUP($A$406,FC_Premissas!$D$5:$W$16,14,FALSE))^0.0833-1)*M413*12</f>
        <v>#REF!</v>
      </c>
      <c r="X413" s="637">
        <f>N413*$AX$6*AT$17</f>
        <v>0</v>
      </c>
      <c r="Y413" s="640" t="e">
        <f>$AX$6*(1-AU$16)*((1+HLOOKUP($A$406,FC_Premissas!$D$5:$W$16,14,FALSE))^0.0833-1)*N413*12</f>
        <v>#REF!</v>
      </c>
      <c r="Z413" s="638">
        <f t="shared" si="148"/>
        <v>0</v>
      </c>
      <c r="AA413" s="669" t="e">
        <f t="shared" si="148"/>
        <v>#REF!</v>
      </c>
      <c r="AB413" s="641"/>
    </row>
    <row r="414" spans="1:28" hidden="1" x14ac:dyDescent="0.2">
      <c r="A414" s="984"/>
      <c r="B414" s="633">
        <v>6</v>
      </c>
      <c r="C414" s="634">
        <f>IF(A406&lt;=$F$3,L388,0)</f>
        <v>0</v>
      </c>
      <c r="D414" s="598">
        <f>IF(A406&lt;=$F$3,M388,0)</f>
        <v>0</v>
      </c>
      <c r="E414" s="598">
        <f>IF(A406&lt;=$F$3,N388,0)</f>
        <v>0</v>
      </c>
      <c r="F414" s="679"/>
      <c r="G414" s="680"/>
      <c r="H414" s="680"/>
      <c r="I414" s="679"/>
      <c r="J414" s="680"/>
      <c r="K414" s="680"/>
      <c r="L414" s="634">
        <f>IF(A406&lt;=$F$3,C414+F414-I414,0)</f>
        <v>0</v>
      </c>
      <c r="M414" s="598">
        <f>IF(A406&lt;=$F$3,D414+G414-J414,0)</f>
        <v>0</v>
      </c>
      <c r="N414" s="598">
        <f>IF(A406&lt;=$F$3,E414+H414-K414,0)</f>
        <v>0</v>
      </c>
      <c r="O414" s="635">
        <f>IF(A406&lt;=$F$3,F414*Q414+G414*R414+H414*S414,0)</f>
        <v>0</v>
      </c>
      <c r="P414" s="636">
        <f>IF(A406&lt;=$F$3,I414*Q414+J414*R414+K414*S414,0)</f>
        <v>0</v>
      </c>
      <c r="Q414" s="637">
        <f t="shared" si="147"/>
        <v>138540.90909090912</v>
      </c>
      <c r="R414" s="638">
        <f t="shared" si="147"/>
        <v>194252.85818181818</v>
      </c>
      <c r="S414" s="639">
        <f t="shared" si="147"/>
        <v>204640.13090909092</v>
      </c>
      <c r="T414" s="637">
        <f>L414*$AH$6*AD$18</f>
        <v>0</v>
      </c>
      <c r="U414" s="640" t="e">
        <f>$AH$6*(1-AE$17)*((1+HLOOKUP($A$406,FC_Premissas!$D$5:$W$16,14,FALSE)^0.0833-1))*L414*12</f>
        <v>#REF!</v>
      </c>
      <c r="V414" s="638">
        <f>M414*$AP$6*AL$18</f>
        <v>0</v>
      </c>
      <c r="W414" s="669" t="e">
        <f>$AP$6*(1-AM$17)*((1+HLOOKUP($A$406,FC_Premissas!$D$5:$W$16,14,FALSE))^0.0833-1)*M414*12</f>
        <v>#REF!</v>
      </c>
      <c r="X414" s="637">
        <f>N414*$AX$6*AT$18</f>
        <v>0</v>
      </c>
      <c r="Y414" s="640" t="e">
        <f>$AX$6*(1-AU$17)*((1+HLOOKUP($A$406,FC_Premissas!$D$5:$W$16,14,FALSE))^0.0833-1)*N414*12</f>
        <v>#REF!</v>
      </c>
      <c r="Z414" s="638">
        <f t="shared" si="148"/>
        <v>0</v>
      </c>
      <c r="AA414" s="669" t="e">
        <f t="shared" si="148"/>
        <v>#REF!</v>
      </c>
      <c r="AB414" s="641"/>
    </row>
    <row r="415" spans="1:28" hidden="1" x14ac:dyDescent="0.2">
      <c r="A415" s="984"/>
      <c r="B415" s="633">
        <v>7</v>
      </c>
      <c r="C415" s="634">
        <f>IF(A406&lt;=$F$3,L389,0)</f>
        <v>0</v>
      </c>
      <c r="D415" s="598">
        <f>IF(A406&lt;=$F$3,M389,0)</f>
        <v>0</v>
      </c>
      <c r="E415" s="598">
        <f>IF(A406&lt;=$F$3,N389,0)</f>
        <v>0</v>
      </c>
      <c r="F415" s="679"/>
      <c r="G415" s="680"/>
      <c r="H415" s="680"/>
      <c r="I415" s="679"/>
      <c r="J415" s="680"/>
      <c r="K415" s="680"/>
      <c r="L415" s="634">
        <f>IF(A406&lt;=$F$3,C415+F415-I415,0)</f>
        <v>0</v>
      </c>
      <c r="M415" s="598">
        <f>IF(A406&lt;=$F$3,D415+G415-J415,0)</f>
        <v>0</v>
      </c>
      <c r="N415" s="598">
        <f>IF(A406&lt;=$F$3,E415+H415-K415,0)</f>
        <v>0</v>
      </c>
      <c r="O415" s="635">
        <f>IF(A406&lt;=$F$3,F415*Q415+G415*R415+H415*S415,0)</f>
        <v>0</v>
      </c>
      <c r="P415" s="636">
        <f>IF(A406&lt;=$F$3,I415*Q415+J415*R415+K415*S415,0)</f>
        <v>0</v>
      </c>
      <c r="Q415" s="637">
        <f t="shared" si="147"/>
        <v>104144.54545454548</v>
      </c>
      <c r="R415" s="638">
        <f t="shared" si="147"/>
        <v>148959.77890909094</v>
      </c>
      <c r="S415" s="639">
        <f t="shared" si="147"/>
        <v>156768.14254545458</v>
      </c>
      <c r="T415" s="637">
        <f>L415*$AH$6*AD$19</f>
        <v>0</v>
      </c>
      <c r="U415" s="640" t="e">
        <f>$AH$6*(1-AE$18)*((1+HLOOKUP($A$406,FC_Premissas!$D$5:$W$16,14,FALSE)^0.0833-1))*L415*12</f>
        <v>#REF!</v>
      </c>
      <c r="V415" s="638">
        <f>M415*$AP$6*AL$19</f>
        <v>0</v>
      </c>
      <c r="W415" s="669" t="e">
        <f>$AP$6*(1-AM$18)*((1+HLOOKUP($A$406,FC_Premissas!$D$5:$W$16,14,FALSE))^0.0833-1)*M415*12</f>
        <v>#REF!</v>
      </c>
      <c r="X415" s="637">
        <f>N415*$AX$6*AT$19</f>
        <v>0</v>
      </c>
      <c r="Y415" s="640" t="e">
        <f>$AX$6*(1-AU$18)*((1+HLOOKUP($A$406,FC_Premissas!$D$5:$W$16,14,FALSE))^0.0833-1)*N415*12</f>
        <v>#REF!</v>
      </c>
      <c r="Z415" s="638">
        <f t="shared" si="148"/>
        <v>0</v>
      </c>
      <c r="AA415" s="669" t="e">
        <f t="shared" si="148"/>
        <v>#REF!</v>
      </c>
      <c r="AB415" s="641"/>
    </row>
    <row r="416" spans="1:28" hidden="1" x14ac:dyDescent="0.2">
      <c r="A416" s="984"/>
      <c r="B416" s="633">
        <v>8</v>
      </c>
      <c r="C416" s="634">
        <f>IF(A406&lt;=$F$3,L390,0)</f>
        <v>0</v>
      </c>
      <c r="D416" s="598">
        <f>IF(A406&lt;=$F$3,M390,0)</f>
        <v>0</v>
      </c>
      <c r="E416" s="598">
        <f>IF(A406&lt;=$F$3,N390,0)</f>
        <v>0</v>
      </c>
      <c r="F416" s="679"/>
      <c r="G416" s="680"/>
      <c r="H416" s="680"/>
      <c r="I416" s="679"/>
      <c r="J416" s="680"/>
      <c r="K416" s="680"/>
      <c r="L416" s="634">
        <f>IF(A406&lt;=$F$3,C416+F416-I416,0)</f>
        <v>0</v>
      </c>
      <c r="M416" s="598">
        <f>IF(A406&lt;=$F$3,D416+G416-J416,0)</f>
        <v>0</v>
      </c>
      <c r="N416" s="598">
        <f>IF(A406&lt;=$F$3,E416+H416-K416,0)</f>
        <v>0</v>
      </c>
      <c r="O416" s="635">
        <f>IF(A406&lt;=$F$3,F416*Q416+G416*R416+H416*S416,0)</f>
        <v>0</v>
      </c>
      <c r="P416" s="636">
        <f>IF(A406&lt;=$F$3,I416*Q416+J416*R416+K416*S416,0)</f>
        <v>0</v>
      </c>
      <c r="Q416" s="637">
        <f t="shared" si="147"/>
        <v>78347.272727272764</v>
      </c>
      <c r="R416" s="638">
        <f t="shared" si="147"/>
        <v>114989.9694545455</v>
      </c>
      <c r="S416" s="639">
        <f t="shared" si="147"/>
        <v>120864.15127272732</v>
      </c>
      <c r="T416" s="637">
        <f>L416*$AH$6*AD$20</f>
        <v>0</v>
      </c>
      <c r="U416" s="640" t="e">
        <f>$AH$6*(1-AE$19)*((1+HLOOKUP($A$406,FC_Premissas!$D$5:$W$16,14,FALSE)^0.0833-1))*L416*12</f>
        <v>#REF!</v>
      </c>
      <c r="V416" s="638">
        <f>M416*$AP$6*AL$20</f>
        <v>0</v>
      </c>
      <c r="W416" s="669" t="e">
        <f>$AP$6*(1-AM$19)*((1+HLOOKUP($A$406,FC_Premissas!$D$5:$W$16,14,FALSE))^0.0833-1)*M416*12</f>
        <v>#REF!</v>
      </c>
      <c r="X416" s="637">
        <f>N416*$AX$6*AT$20</f>
        <v>0</v>
      </c>
      <c r="Y416" s="640" t="e">
        <f>$AX$6*(1-AU$19)*((1+HLOOKUP($A$406,FC_Premissas!$D$5:$W$16,14,FALSE))^0.0833-1)*N416*12</f>
        <v>#REF!</v>
      </c>
      <c r="Z416" s="638">
        <f t="shared" si="148"/>
        <v>0</v>
      </c>
      <c r="AA416" s="669" t="e">
        <f t="shared" si="148"/>
        <v>#REF!</v>
      </c>
      <c r="AB416" s="641"/>
    </row>
    <row r="417" spans="1:28" hidden="1" x14ac:dyDescent="0.2">
      <c r="A417" s="984"/>
      <c r="B417" s="633">
        <v>9</v>
      </c>
      <c r="C417" s="634">
        <f>IF(A406&lt;=$F$3,L391,0)</f>
        <v>0</v>
      </c>
      <c r="D417" s="598">
        <f>IF(A406&lt;=$F$3,M391,0)</f>
        <v>0</v>
      </c>
      <c r="E417" s="598">
        <f>IF(A406&lt;=$F$3,N391,0)</f>
        <v>0</v>
      </c>
      <c r="F417" s="679"/>
      <c r="G417" s="680"/>
      <c r="H417" s="680"/>
      <c r="I417" s="679"/>
      <c r="J417" s="680"/>
      <c r="K417" s="680"/>
      <c r="L417" s="634">
        <f>IF(A406&lt;=$F$3,C417+F417-I417,0)</f>
        <v>0</v>
      </c>
      <c r="M417" s="598">
        <f>IF(A406&lt;=$F$3,D417+G417-J417,0)</f>
        <v>0</v>
      </c>
      <c r="N417" s="598">
        <f>IF(A406&lt;=$F$3,E417+H417-K417,0)</f>
        <v>0</v>
      </c>
      <c r="O417" s="635">
        <f>IF(A406&lt;=$F$3,F417*Q417+G417*R417+H417*S417,0)</f>
        <v>0</v>
      </c>
      <c r="P417" s="636">
        <f>IF(A406&lt;=$F$3,I417*Q417+J417*R417+K417*S417,0)</f>
        <v>0</v>
      </c>
      <c r="Q417" s="637">
        <f t="shared" si="147"/>
        <v>61149.090909090955</v>
      </c>
      <c r="R417" s="638">
        <f t="shared" si="147"/>
        <v>92343.429818181874</v>
      </c>
      <c r="S417" s="639">
        <f t="shared" si="147"/>
        <v>96928.157090909139</v>
      </c>
      <c r="T417" s="637">
        <f>L417*$AH$6*AD$21</f>
        <v>0</v>
      </c>
      <c r="U417" s="640" t="e">
        <f>$AH$6*(1-AE$20)*((1+HLOOKUP($A$406,FC_Premissas!$D$5:$W$16,14,FALSE)^0.0833-1))*L417*12</f>
        <v>#REF!</v>
      </c>
      <c r="V417" s="638">
        <f>M417*$AP$6*AL$21</f>
        <v>0</v>
      </c>
      <c r="W417" s="669" t="e">
        <f>$AP$6*(1-AM$20)*((1+HLOOKUP($A$406,FC_Premissas!$D$5:$W$16,14,FALSE))^0.0833-1)*M417*12</f>
        <v>#REF!</v>
      </c>
      <c r="X417" s="637">
        <f>N417*$AX$6*AT$21</f>
        <v>0</v>
      </c>
      <c r="Y417" s="640" t="e">
        <f>$AX$6*(1-AU$20)*((1+HLOOKUP($A$406,FC_Premissas!$D$5:$W$16,14,FALSE))^0.0833-1)*N417*12</f>
        <v>#REF!</v>
      </c>
      <c r="Z417" s="638">
        <f t="shared" si="148"/>
        <v>0</v>
      </c>
      <c r="AA417" s="669" t="e">
        <f t="shared" si="148"/>
        <v>#REF!</v>
      </c>
      <c r="AB417" s="641"/>
    </row>
    <row r="418" spans="1:28" hidden="1" x14ac:dyDescent="0.2">
      <c r="A418" s="984"/>
      <c r="B418" s="633">
        <v>10</v>
      </c>
      <c r="C418" s="634">
        <f>IF(A406&lt;=$F$3,L392,0)</f>
        <v>0</v>
      </c>
      <c r="D418" s="598">
        <f>IF(A406&lt;=$F$3,M392,0)</f>
        <v>0</v>
      </c>
      <c r="E418" s="598">
        <f>IF(A406&lt;=$F$3,N392,0)</f>
        <v>0</v>
      </c>
      <c r="F418" s="679"/>
      <c r="G418" s="680"/>
      <c r="H418" s="680"/>
      <c r="I418" s="679"/>
      <c r="J418" s="680"/>
      <c r="K418" s="680"/>
      <c r="L418" s="634">
        <f>IF(A406&lt;=$F$3,C418+F418-I418,0)</f>
        <v>0</v>
      </c>
      <c r="M418" s="598">
        <f>IF(A406&lt;=$F$3,D418+G418-J418,0)</f>
        <v>0</v>
      </c>
      <c r="N418" s="598">
        <f>IF(A406&lt;=$F$3,E418+H418-K418,0)</f>
        <v>0</v>
      </c>
      <c r="O418" s="635">
        <f>IF(A406&lt;=$F$3,F418*Q418+G418*R418+H418*S418,0)</f>
        <v>0</v>
      </c>
      <c r="P418" s="636">
        <f>IF(A406&lt;=$F$3,I418*Q418+J418*R418+K418*S418,0)</f>
        <v>0</v>
      </c>
      <c r="Q418" s="637">
        <f t="shared" si="147"/>
        <v>52550.000000000044</v>
      </c>
      <c r="R418" s="638">
        <f t="shared" si="147"/>
        <v>81020.160000000062</v>
      </c>
      <c r="S418" s="639">
        <f t="shared" si="147"/>
        <v>84960.160000000062</v>
      </c>
      <c r="T418" s="637">
        <f>L418*$AH$6*AD$22</f>
        <v>0</v>
      </c>
      <c r="U418" s="640" t="e">
        <f>$AH$6*(1-AE$21)*((1+HLOOKUP($A$406,FC_Premissas!$D$5:$W$16,14,FALSE)^0.0833-1))*L418*12</f>
        <v>#REF!</v>
      </c>
      <c r="V418" s="638">
        <f>M418*$AP$6*AL$22</f>
        <v>0</v>
      </c>
      <c r="W418" s="669" t="e">
        <f>$AP$6*(1-AM$21)*((1+HLOOKUP($A$406,FC_Premissas!$D$5:$W$16,14,FALSE))^0.0833-1)*M418*12</f>
        <v>#REF!</v>
      </c>
      <c r="X418" s="637">
        <f>N418*$AX$6*AT$22</f>
        <v>0</v>
      </c>
      <c r="Y418" s="640" t="e">
        <f>$AX$6*(1-AU$21)*((1+HLOOKUP($A$406,FC_Premissas!$D$5:$W$16,14,FALSE))^0.0833-1)*N418*12</f>
        <v>#REF!</v>
      </c>
      <c r="Z418" s="638">
        <f t="shared" si="148"/>
        <v>0</v>
      </c>
      <c r="AA418" s="669" t="e">
        <f t="shared" si="148"/>
        <v>#REF!</v>
      </c>
      <c r="AB418" s="641"/>
    </row>
    <row r="419" spans="1:28" hidden="1" x14ac:dyDescent="0.2">
      <c r="A419" s="984"/>
      <c r="B419" s="633">
        <v>11</v>
      </c>
      <c r="C419" s="634">
        <f>IF(A406&lt;=$F$3,L393,0)</f>
        <v>0</v>
      </c>
      <c r="D419" s="598">
        <f>IF(A406&lt;=$F$3,M393,0)</f>
        <v>0</v>
      </c>
      <c r="E419" s="598">
        <f>IF(A406&lt;=$F$3,N393,0)</f>
        <v>0</v>
      </c>
      <c r="F419" s="679"/>
      <c r="G419" s="680"/>
      <c r="H419" s="680"/>
      <c r="I419" s="679"/>
      <c r="J419" s="680"/>
      <c r="K419" s="680"/>
      <c r="L419" s="634">
        <f>IF(A406&lt;=$F$3,C419+F419-I419,0)</f>
        <v>0</v>
      </c>
      <c r="M419" s="598">
        <f>IF(A406&lt;=$F$3,D419+G419-J419,0)</f>
        <v>0</v>
      </c>
      <c r="N419" s="598">
        <f>IF(A406&lt;=$F$3,E419+H419-K419,0)</f>
        <v>0</v>
      </c>
      <c r="O419" s="635">
        <f>IF(A406&lt;=$F$3,F419*Q419+G419*R419+H419*S419,0)</f>
        <v>0</v>
      </c>
      <c r="P419" s="636">
        <f>IF(A406&lt;=$F$3,I419*Q419+J419*R419+K419*S419,0)</f>
        <v>0</v>
      </c>
      <c r="Q419" s="637">
        <f t="shared" si="147"/>
        <v>52550.000000000044</v>
      </c>
      <c r="R419" s="638">
        <f t="shared" si="147"/>
        <v>81020.160000000062</v>
      </c>
      <c r="S419" s="639">
        <f t="shared" si="147"/>
        <v>84960.160000000062</v>
      </c>
      <c r="T419" s="637">
        <f>L419*$AH$6*AD$23</f>
        <v>0</v>
      </c>
      <c r="U419" s="640" t="e">
        <f>$AH$6*(1-AE$22)*((1+HLOOKUP($A$406,FC_Premissas!$D$5:$W$16,14,FALSE)^0.0833-1))*L419*12</f>
        <v>#REF!</v>
      </c>
      <c r="V419" s="638">
        <f>M419*$AP$6*AL$23</f>
        <v>0</v>
      </c>
      <c r="W419" s="669" t="e">
        <f>$AP$6*(1-AM$22)*((1+HLOOKUP($A$406,FC_Premissas!$D$5:$W$16,14,FALSE))^0.0833-1)*M419*12</f>
        <v>#REF!</v>
      </c>
      <c r="X419" s="637">
        <f>N419*$AX$6*AT$23</f>
        <v>0</v>
      </c>
      <c r="Y419" s="640" t="e">
        <f>$AX$6*(1-AU$22)*((1+HLOOKUP($A$406,FC_Premissas!$D$5:$W$16,14,FALSE))^0.0833-1)*N419*12</f>
        <v>#REF!</v>
      </c>
      <c r="Z419" s="638">
        <f t="shared" si="148"/>
        <v>0</v>
      </c>
      <c r="AA419" s="669" t="e">
        <f t="shared" si="148"/>
        <v>#REF!</v>
      </c>
      <c r="AB419" s="641"/>
    </row>
    <row r="420" spans="1:28" hidden="1" x14ac:dyDescent="0.2">
      <c r="A420" s="984"/>
      <c r="B420" s="633">
        <v>12</v>
      </c>
      <c r="C420" s="634">
        <f>IF(A406&lt;=$F$3,L394,0)</f>
        <v>0</v>
      </c>
      <c r="D420" s="598">
        <f>IF(A406&lt;=$F$3,M394,0)</f>
        <v>0</v>
      </c>
      <c r="E420" s="598">
        <f>IF(A406&lt;=$F$3,N394,0)</f>
        <v>0</v>
      </c>
      <c r="F420" s="679"/>
      <c r="G420" s="680"/>
      <c r="H420" s="680"/>
      <c r="I420" s="679"/>
      <c r="J420" s="680"/>
      <c r="K420" s="680">
        <v>0</v>
      </c>
      <c r="L420" s="634">
        <f>IF(A406&lt;=$F$3,C420+F420-I420,0)</f>
        <v>0</v>
      </c>
      <c r="M420" s="598">
        <f>IF(A406&lt;=$F$3,D420+G420-J420,0)</f>
        <v>0</v>
      </c>
      <c r="N420" s="598">
        <f>IF(A406&lt;=$F$3,E420+H420-K420,0)</f>
        <v>0</v>
      </c>
      <c r="O420" s="635">
        <f>IF(A406&lt;=$F$3,F420*Q420+G420*R420+H420*S420,0)</f>
        <v>0</v>
      </c>
      <c r="P420" s="636">
        <f>IF(A406&lt;=$F$3,I420*Q420+J420*R420+K420*S420,0)</f>
        <v>0</v>
      </c>
      <c r="Q420" s="637">
        <f t="shared" si="147"/>
        <v>52550.000000000044</v>
      </c>
      <c r="R420" s="638">
        <f t="shared" si="147"/>
        <v>81020.160000000062</v>
      </c>
      <c r="S420" s="639">
        <f t="shared" si="147"/>
        <v>84960.160000000062</v>
      </c>
      <c r="T420" s="637">
        <f>L420*$AH$6*AD$24</f>
        <v>0</v>
      </c>
      <c r="U420" s="640" t="e">
        <f>$AH$6*(1-AE$23)*((1+HLOOKUP($A$406,FC_Premissas!$D$5:$W$16,14,FALSE)^0.0833-1))*L420*12</f>
        <v>#REF!</v>
      </c>
      <c r="V420" s="638">
        <f>M420*$AP$6*AL$24</f>
        <v>0</v>
      </c>
      <c r="W420" s="669" t="e">
        <f>$AP$6*(1-AM$23)*((1+HLOOKUP($A$406,FC_Premissas!$D$5:$W$16,14,FALSE))^0.0833-1)*M420*12</f>
        <v>#REF!</v>
      </c>
      <c r="X420" s="637">
        <f>N420*$AX$6*AT$24</f>
        <v>0</v>
      </c>
      <c r="Y420" s="640" t="e">
        <f>$AX$6*(1-AU$23)*((1+HLOOKUP($A$406,FC_Premissas!$D$5:$W$16,14,FALSE))^0.0833-1)*N420*12</f>
        <v>#REF!</v>
      </c>
      <c r="Z420" s="638">
        <f t="shared" si="148"/>
        <v>0</v>
      </c>
      <c r="AA420" s="669" t="e">
        <f t="shared" si="148"/>
        <v>#REF!</v>
      </c>
      <c r="AB420" s="641"/>
    </row>
    <row r="421" spans="1:28" ht="11.25" hidden="1" customHeight="1" x14ac:dyDescent="0.2">
      <c r="A421" s="984"/>
      <c r="B421" s="633">
        <v>13</v>
      </c>
      <c r="C421" s="634">
        <f>IF(A406&lt;=$F$3,L395,0)</f>
        <v>0</v>
      </c>
      <c r="D421" s="598">
        <f>IF(A406&lt;=$F$3,M395,0)</f>
        <v>0</v>
      </c>
      <c r="E421" s="650">
        <f>IF(A406&lt;=$F$3,N395,0)</f>
        <v>0</v>
      </c>
      <c r="F421" s="634"/>
      <c r="G421" s="598"/>
      <c r="H421" s="598"/>
      <c r="I421" s="634"/>
      <c r="J421" s="598"/>
      <c r="K421" s="598"/>
      <c r="L421" s="634">
        <f>IF(A406&lt;=$F$3,C421+F421-I421,0)</f>
        <v>0</v>
      </c>
      <c r="M421" s="598">
        <f>IF(A406&lt;=$F$3,D421+G421-J421,0)</f>
        <v>0</v>
      </c>
      <c r="N421" s="598">
        <f>IF(A406&lt;=$F$3,E421+H421-K421,0)</f>
        <v>0</v>
      </c>
      <c r="O421" s="635">
        <f>IF(A406&lt;=$F$3,F421*Q421+G421*R421+H421*S421,0)</f>
        <v>0</v>
      </c>
      <c r="P421" s="636">
        <f>IF(A406&lt;=$F$3,I421*Q421+J421*R421+K421*S421,0)</f>
        <v>0</v>
      </c>
      <c r="Q421" s="637">
        <f t="shared" si="147"/>
        <v>52550.000000000044</v>
      </c>
      <c r="R421" s="638">
        <f t="shared" si="147"/>
        <v>81020.160000000062</v>
      </c>
      <c r="S421" s="639">
        <f t="shared" si="147"/>
        <v>84960.160000000062</v>
      </c>
      <c r="T421" s="637">
        <f>L421*$AH$6*AD$25</f>
        <v>0</v>
      </c>
      <c r="U421" s="640" t="e">
        <f>$AH$6*(1-AE$24)*((1+HLOOKUP($A$406,FC_Premissas!$D$5:$W$16,14,FALSE)^0.0833-1))*L421*12</f>
        <v>#REF!</v>
      </c>
      <c r="V421" s="638">
        <f>M421*$AP$6*AL$25</f>
        <v>0</v>
      </c>
      <c r="W421" s="669" t="e">
        <f>$AP$6*(1-AM$24)*((1+HLOOKUP($A$406,FC_Premissas!$D$5:$W$16,14,FALSE))^0.0833-1)*M421*12</f>
        <v>#REF!</v>
      </c>
      <c r="X421" s="637">
        <f>N421*$AX$6*AT$25</f>
        <v>0</v>
      </c>
      <c r="Y421" s="640" t="e">
        <f>$AX$6*(1-AU$24)*((1+HLOOKUP($A$406,FC_Premissas!$D$5:$W$16,14,FALSE))^0.0833-1)*N421*12</f>
        <v>#REF!</v>
      </c>
      <c r="Z421" s="638">
        <f t="shared" si="148"/>
        <v>0</v>
      </c>
      <c r="AA421" s="669" t="e">
        <f t="shared" si="148"/>
        <v>#REF!</v>
      </c>
      <c r="AB421" s="641"/>
    </row>
    <row r="422" spans="1:28" ht="11.25" hidden="1" customHeight="1" x14ac:dyDescent="0.2">
      <c r="A422" s="984"/>
      <c r="B422" s="633">
        <v>14</v>
      </c>
      <c r="C422" s="634">
        <f>IF(A406&lt;=$F$3,L396,0)</f>
        <v>0</v>
      </c>
      <c r="D422" s="598">
        <f>IF(A406&lt;=$F$3,M396,0)</f>
        <v>0</v>
      </c>
      <c r="E422" s="650">
        <f>IF(A406&lt;=$F$3,N396,0)</f>
        <v>0</v>
      </c>
      <c r="F422" s="634"/>
      <c r="G422" s="598"/>
      <c r="H422" s="598"/>
      <c r="I422" s="634"/>
      <c r="J422" s="598"/>
      <c r="K422" s="598"/>
      <c r="L422" s="634">
        <f>IF(A406&lt;=$F$3,C422+F422-I422,0)</f>
        <v>0</v>
      </c>
      <c r="M422" s="598">
        <f>IF(A406&lt;=$F$3,D422+G422-J422,0)</f>
        <v>0</v>
      </c>
      <c r="N422" s="598">
        <f>IF(A406&lt;=$F$3,E422+H422-K422,0)</f>
        <v>0</v>
      </c>
      <c r="O422" s="635">
        <f>IF(A406&lt;=$F$3,F422*Q422+G422*R422+H422*S422,0)</f>
        <v>0</v>
      </c>
      <c r="P422" s="636">
        <f>IF(A406&lt;=$F$3,I422*Q422+J422*R422+K422*S422,0)</f>
        <v>0</v>
      </c>
      <c r="Q422" s="637">
        <f t="shared" si="147"/>
        <v>52550.000000000044</v>
      </c>
      <c r="R422" s="638">
        <f t="shared" si="147"/>
        <v>81020.160000000062</v>
      </c>
      <c r="S422" s="639">
        <f t="shared" si="147"/>
        <v>84960.160000000062</v>
      </c>
      <c r="T422" s="637">
        <f>L422*$AH$6*AD$26</f>
        <v>0</v>
      </c>
      <c r="U422" s="640" t="e">
        <f>$AH$6*(1-AE$25)*((1+HLOOKUP($A$406,FC_Premissas!$D$5:$W$16,14,FALSE)^0.0833-1))*L422*12</f>
        <v>#REF!</v>
      </c>
      <c r="V422" s="638">
        <f>M422*$AP$6*AL$26</f>
        <v>0</v>
      </c>
      <c r="W422" s="669" t="e">
        <f>$AP$6*(1-AM$25)*((1+HLOOKUP($A$406,FC_Premissas!$D$5:$W$16,14,FALSE))^0.0833-1)*M422*12</f>
        <v>#REF!</v>
      </c>
      <c r="X422" s="637">
        <f>N422*$AX$6*AT$26</f>
        <v>0</v>
      </c>
      <c r="Y422" s="640" t="e">
        <f>$AX$6*(1-AU$25)*((1+HLOOKUP($A$406,FC_Premissas!$D$5:$W$16,14,FALSE))^0.0833-1)*N422*12</f>
        <v>#REF!</v>
      </c>
      <c r="Z422" s="638">
        <f t="shared" si="148"/>
        <v>0</v>
      </c>
      <c r="AA422" s="669" t="e">
        <f t="shared" si="148"/>
        <v>#REF!</v>
      </c>
      <c r="AB422" s="641"/>
    </row>
    <row r="423" spans="1:28" ht="11.25" hidden="1" customHeight="1" x14ac:dyDescent="0.2">
      <c r="A423" s="984"/>
      <c r="B423" s="633">
        <v>15</v>
      </c>
      <c r="C423" s="634">
        <f>IF(A406&lt;=$F$3,L397,0)</f>
        <v>0</v>
      </c>
      <c r="D423" s="598">
        <f>IF(A406&lt;=$F$3,M397,0)</f>
        <v>0</v>
      </c>
      <c r="E423" s="650">
        <f>IF(A406&lt;=$F$3,N397,0)</f>
        <v>0</v>
      </c>
      <c r="F423" s="634"/>
      <c r="G423" s="598"/>
      <c r="H423" s="598"/>
      <c r="I423" s="634"/>
      <c r="J423" s="598"/>
      <c r="K423" s="598"/>
      <c r="L423" s="634">
        <f>IF(A406&lt;=$F$3,C423+F423-I423,0)</f>
        <v>0</v>
      </c>
      <c r="M423" s="598">
        <f>IF(A406&lt;=$F$3,D423+G423-J423,0)</f>
        <v>0</v>
      </c>
      <c r="N423" s="598">
        <f>IF(A406&lt;=$F$3,E423+H423-K423,0)</f>
        <v>0</v>
      </c>
      <c r="O423" s="635">
        <f>IF(A406&lt;=$F$3,F423*Q423+G423*R423+H423*S423,0)</f>
        <v>0</v>
      </c>
      <c r="P423" s="636">
        <f>IF(A406&lt;=$F$3,I423*Q423+J423*R423+K423*S423,0)</f>
        <v>0</v>
      </c>
      <c r="Q423" s="637">
        <f t="shared" si="147"/>
        <v>52550.000000000044</v>
      </c>
      <c r="R423" s="638">
        <f t="shared" si="147"/>
        <v>81020.160000000062</v>
      </c>
      <c r="S423" s="639">
        <f t="shared" si="147"/>
        <v>84960.160000000062</v>
      </c>
      <c r="T423" s="637">
        <f t="shared" ref="T423:T428" si="149">L423*$AH$6*AD$27</f>
        <v>0</v>
      </c>
      <c r="U423" s="640" t="e">
        <f>$AH$6*(1-AE$26)*((1+HLOOKUP($A$406,FC_Premissas!$D$5:$W$16,14,FALSE)^0.0833-1))*L423*12</f>
        <v>#REF!</v>
      </c>
      <c r="V423" s="638">
        <f t="shared" ref="V423:V428" si="150">M423*$AP$6*AL$27</f>
        <v>0</v>
      </c>
      <c r="W423" s="669" t="e">
        <f>$AP$6*(1-AM$26)*((1+HLOOKUP($A$406,FC_Premissas!$D$5:$W$16,14,FALSE))^0.0833-1)*M423*12</f>
        <v>#REF!</v>
      </c>
      <c r="X423" s="637">
        <f t="shared" ref="X423:X428" si="151">N423*$AX$6*AT$27</f>
        <v>0</v>
      </c>
      <c r="Y423" s="640" t="e">
        <f>$AX$6*(1-AU$26)*((1+HLOOKUP($A$406,FC_Premissas!$D$5:$W$16,14,FALSE))^0.0833-1)*N423*12</f>
        <v>#REF!</v>
      </c>
      <c r="Z423" s="638">
        <f t="shared" si="148"/>
        <v>0</v>
      </c>
      <c r="AA423" s="640" t="e">
        <f t="shared" si="148"/>
        <v>#REF!</v>
      </c>
      <c r="AB423" s="641"/>
    </row>
    <row r="424" spans="1:28" hidden="1" x14ac:dyDescent="0.2">
      <c r="A424" s="984"/>
      <c r="B424" s="633">
        <v>16</v>
      </c>
      <c r="C424" s="634">
        <f>IF(A406&lt;=$F$3,L398,0)</f>
        <v>0</v>
      </c>
      <c r="D424" s="598">
        <f>IF(A406&lt;=$F$3,M398,0)</f>
        <v>0</v>
      </c>
      <c r="E424" s="650">
        <f>IF(A406&lt;=$F$3,N398,0)</f>
        <v>0</v>
      </c>
      <c r="F424" s="634"/>
      <c r="G424" s="598"/>
      <c r="H424" s="598"/>
      <c r="I424" s="634"/>
      <c r="J424" s="598"/>
      <c r="K424" s="598"/>
      <c r="L424" s="634">
        <f>IF(A406&lt;=$F$3,C424+F424-I424,0)</f>
        <v>0</v>
      </c>
      <c r="M424" s="598">
        <f>IF(A406&lt;=$F$3,D424+G424-J424,0)</f>
        <v>0</v>
      </c>
      <c r="N424" s="598">
        <f>IF(A406&lt;=$F$3,E424+H424-K424,0)</f>
        <v>0</v>
      </c>
      <c r="O424" s="635">
        <f>IF(A406&lt;=$F$3,F424*Q424+G424*R424+H424*S424,0)</f>
        <v>0</v>
      </c>
      <c r="P424" s="636">
        <f>IF(A406&lt;=$F$3,I424*Q424+J424*R424+K424*S424,0)</f>
        <v>0</v>
      </c>
      <c r="Q424" s="637">
        <f t="shared" ref="Q424:S428" si="152">Q399</f>
        <v>52550.000000000044</v>
      </c>
      <c r="R424" s="638">
        <f t="shared" si="152"/>
        <v>81020.160000000062</v>
      </c>
      <c r="S424" s="639">
        <f t="shared" si="152"/>
        <v>84960.160000000062</v>
      </c>
      <c r="T424" s="637">
        <f t="shared" si="149"/>
        <v>0</v>
      </c>
      <c r="U424" s="640" t="e">
        <f>$AH$6*(1-AE$27)*((1+HLOOKUP($A$406,FC_Premissas!$D$5:$W$16,14,FALSE)^0.0833-1))*L424*12</f>
        <v>#REF!</v>
      </c>
      <c r="V424" s="638">
        <f t="shared" si="150"/>
        <v>0</v>
      </c>
      <c r="W424" s="669" t="e">
        <f>$AP$6*(1-AM$27)*((1+HLOOKUP($A$406,FC_Premissas!$D$5:$W$16,14,FALSE))^0.0833-1)*M424*12</f>
        <v>#REF!</v>
      </c>
      <c r="X424" s="637">
        <f t="shared" si="151"/>
        <v>0</v>
      </c>
      <c r="Y424" s="640" t="e">
        <f>$AX$6*(1-AU$27)*((1+HLOOKUP($A$406,FC_Premissas!$D$5:$W$16,14,FALSE))^0.0833-1)*N424*12</f>
        <v>#REF!</v>
      </c>
      <c r="Z424" s="638">
        <f t="shared" si="148"/>
        <v>0</v>
      </c>
      <c r="AA424" s="640" t="e">
        <f t="shared" si="148"/>
        <v>#REF!</v>
      </c>
      <c r="AB424" s="641"/>
    </row>
    <row r="425" spans="1:28" hidden="1" x14ac:dyDescent="0.2">
      <c r="A425" s="984"/>
      <c r="B425" s="633">
        <v>17</v>
      </c>
      <c r="C425" s="634">
        <f>IF(A406&lt;=$F$3,L399,0)</f>
        <v>0</v>
      </c>
      <c r="D425" s="598">
        <f>IF(A406&lt;=$F$3,M399,0)</f>
        <v>0</v>
      </c>
      <c r="E425" s="650">
        <f>IF(A406&lt;=$F$3,N399,0)</f>
        <v>0</v>
      </c>
      <c r="F425" s="634"/>
      <c r="G425" s="598"/>
      <c r="H425" s="598"/>
      <c r="I425" s="634"/>
      <c r="J425" s="598"/>
      <c r="K425" s="598"/>
      <c r="L425" s="634">
        <f>IF(A406&lt;=$F$3,C425+F425-I425,0)</f>
        <v>0</v>
      </c>
      <c r="M425" s="598">
        <f>IF(A406&lt;=$F$3,D425+G425-J425,0)</f>
        <v>0</v>
      </c>
      <c r="N425" s="598">
        <f>IF(A406&lt;=$F$3,E425+H425-K425,0)</f>
        <v>0</v>
      </c>
      <c r="O425" s="635">
        <f>IF(A406&lt;=$F$3,F425*Q425+G425*R425+H425*S425,0)</f>
        <v>0</v>
      </c>
      <c r="P425" s="636">
        <f>IF(A406&lt;=$F$3,I425*Q425+J425*R425+K425*S425,0)</f>
        <v>0</v>
      </c>
      <c r="Q425" s="637">
        <f t="shared" si="152"/>
        <v>52550.000000000044</v>
      </c>
      <c r="R425" s="638">
        <f t="shared" si="152"/>
        <v>81020.160000000062</v>
      </c>
      <c r="S425" s="639">
        <f t="shared" si="152"/>
        <v>84960.160000000062</v>
      </c>
      <c r="T425" s="637">
        <f t="shared" si="149"/>
        <v>0</v>
      </c>
      <c r="U425" s="640" t="e">
        <f>$AH$6*(1-AE$28)*((1+HLOOKUP($A$406,FC_Premissas!$D$5:$W$16,14,FALSE)^0.0833-1))*L425*12</f>
        <v>#REF!</v>
      </c>
      <c r="V425" s="638">
        <f t="shared" si="150"/>
        <v>0</v>
      </c>
      <c r="W425" s="669" t="e">
        <f>$AP$6*(1-AM$28)*((1+HLOOKUP($A$406,FC_Premissas!$D$5:$W$16,14,FALSE))^0.0833-1)*M425*12</f>
        <v>#REF!</v>
      </c>
      <c r="X425" s="637">
        <f t="shared" si="151"/>
        <v>0</v>
      </c>
      <c r="Y425" s="640" t="e">
        <f>$AX$6*(1-AU$28)*((1+HLOOKUP($A$406,FC_Premissas!$D$5:$W$16,14,FALSE))^0.0833-1)*N425*12</f>
        <v>#REF!</v>
      </c>
      <c r="Z425" s="638">
        <f t="shared" si="148"/>
        <v>0</v>
      </c>
      <c r="AA425" s="640" t="e">
        <f t="shared" si="148"/>
        <v>#REF!</v>
      </c>
      <c r="AB425" s="641"/>
    </row>
    <row r="426" spans="1:28" hidden="1" x14ac:dyDescent="0.2">
      <c r="A426" s="984"/>
      <c r="B426" s="633">
        <v>18</v>
      </c>
      <c r="C426" s="634">
        <f>IF(A406&lt;=$F$3,L400,0)</f>
        <v>0</v>
      </c>
      <c r="D426" s="598">
        <f>IF(A406&lt;=$F$3,M400,0)</f>
        <v>0</v>
      </c>
      <c r="E426" s="650">
        <f>IF(A406&lt;=$F$3,N400,0)</f>
        <v>0</v>
      </c>
      <c r="F426" s="634"/>
      <c r="G426" s="598"/>
      <c r="H426" s="598"/>
      <c r="I426" s="634"/>
      <c r="J426" s="598"/>
      <c r="K426" s="598"/>
      <c r="L426" s="634">
        <f>IF(A406&lt;=$F$3,C426+F426-I426,0)</f>
        <v>0</v>
      </c>
      <c r="M426" s="598">
        <f>IF(A406&lt;=$F$3,D426+G426-J426,0)</f>
        <v>0</v>
      </c>
      <c r="N426" s="598">
        <f>IF(A406&lt;=$F$3,E426+H426-K426,0)</f>
        <v>0</v>
      </c>
      <c r="O426" s="635">
        <f>IF(A406&lt;=$F$3,F426*Q426+G426*R426+H426*S426,0)</f>
        <v>0</v>
      </c>
      <c r="P426" s="636">
        <f>IF(A406&lt;=$F$3,I426*Q426+J426*R426+K426*S426,0)</f>
        <v>0</v>
      </c>
      <c r="Q426" s="637">
        <f t="shared" si="152"/>
        <v>52550.000000000044</v>
      </c>
      <c r="R426" s="638">
        <f t="shared" si="152"/>
        <v>81020.160000000062</v>
      </c>
      <c r="S426" s="639">
        <f t="shared" si="152"/>
        <v>84960.160000000062</v>
      </c>
      <c r="T426" s="637">
        <f t="shared" si="149"/>
        <v>0</v>
      </c>
      <c r="U426" s="640" t="e">
        <f>$AH$6*(1-AE$29)*((1+HLOOKUP($A$406,FC_Premissas!$D$5:$W$16,14,FALSE)^0.0833-1))*L426*12</f>
        <v>#REF!</v>
      </c>
      <c r="V426" s="638">
        <f t="shared" si="150"/>
        <v>0</v>
      </c>
      <c r="W426" s="669" t="e">
        <f>$AP$6*(1-AM$29)*((1+HLOOKUP($A$406,FC_Premissas!$D$5:$W$16,14,FALSE))^0.0833-1)*M426*12</f>
        <v>#REF!</v>
      </c>
      <c r="X426" s="637">
        <f t="shared" si="151"/>
        <v>0</v>
      </c>
      <c r="Y426" s="640" t="e">
        <f>$AX$6*(1-AU$29)*((1+HLOOKUP($A$406,FC_Premissas!$D$5:$W$16,14,FALSE))^0.0833-1)*N426*12</f>
        <v>#REF!</v>
      </c>
      <c r="Z426" s="638">
        <f t="shared" si="148"/>
        <v>0</v>
      </c>
      <c r="AA426" s="640" t="e">
        <f t="shared" si="148"/>
        <v>#REF!</v>
      </c>
      <c r="AB426" s="641"/>
    </row>
    <row r="427" spans="1:28" hidden="1" x14ac:dyDescent="0.2">
      <c r="A427" s="984"/>
      <c r="B427" s="633">
        <v>19</v>
      </c>
      <c r="C427" s="634">
        <f>IF(A406&lt;=$F$3,L401,0)</f>
        <v>0</v>
      </c>
      <c r="D427" s="598">
        <f>IF(A406&lt;=$F$3,M401,0)</f>
        <v>0</v>
      </c>
      <c r="E427" s="650">
        <f>IF(A406&lt;=$F$3,N401,0)</f>
        <v>0</v>
      </c>
      <c r="F427" s="634"/>
      <c r="G427" s="598"/>
      <c r="H427" s="598"/>
      <c r="I427" s="634"/>
      <c r="J427" s="598"/>
      <c r="K427" s="598"/>
      <c r="L427" s="634">
        <f>IF(A406&lt;=$F$3,C427+F427-I427,0)</f>
        <v>0</v>
      </c>
      <c r="M427" s="598">
        <f>IF(A406&lt;=$F$3,D427+G427-J427,0)</f>
        <v>0</v>
      </c>
      <c r="N427" s="598">
        <f>IF(A406&lt;=$F$3,E427+H427-K427,0)</f>
        <v>0</v>
      </c>
      <c r="O427" s="635">
        <f>IF(A406&lt;=$F$3,F427*Q427+G427*R427+H427*S427,0)</f>
        <v>0</v>
      </c>
      <c r="P427" s="636">
        <f>IF(A406&lt;=$F$3,I427*Q427+J427*R427+K427*S427,0)</f>
        <v>0</v>
      </c>
      <c r="Q427" s="637">
        <f t="shared" si="152"/>
        <v>52550.000000000044</v>
      </c>
      <c r="R427" s="638">
        <f t="shared" si="152"/>
        <v>81020.160000000062</v>
      </c>
      <c r="S427" s="639">
        <f t="shared" si="152"/>
        <v>84960.160000000062</v>
      </c>
      <c r="T427" s="637">
        <f t="shared" si="149"/>
        <v>0</v>
      </c>
      <c r="U427" s="640" t="e">
        <f>$AH$6*(1-AE$30)*((1+HLOOKUP($A$406,FC_Premissas!$D$5:$W$16,14,FALSE)^0.0833-1))*L427*12</f>
        <v>#REF!</v>
      </c>
      <c r="V427" s="638">
        <f t="shared" si="150"/>
        <v>0</v>
      </c>
      <c r="W427" s="669" t="e">
        <f>$AP$6*(1-AM$30)*((1+HLOOKUP($A$406,FC_Premissas!$D$5:$W$16,14,FALSE))^0.0833-1)*M427*12</f>
        <v>#REF!</v>
      </c>
      <c r="X427" s="637">
        <f t="shared" si="151"/>
        <v>0</v>
      </c>
      <c r="Y427" s="640" t="e">
        <f>$AX$6*(1-AU$30)*((1+HLOOKUP($A$406,FC_Premissas!$D$5:$W$16,14,FALSE))^0.0833-1)*N427*12</f>
        <v>#REF!</v>
      </c>
      <c r="Z427" s="638">
        <f t="shared" si="148"/>
        <v>0</v>
      </c>
      <c r="AA427" s="640" t="e">
        <f t="shared" si="148"/>
        <v>#REF!</v>
      </c>
      <c r="AB427" s="641"/>
    </row>
    <row r="428" spans="1:28" hidden="1" x14ac:dyDescent="0.2">
      <c r="A428" s="984"/>
      <c r="B428" s="633">
        <v>20</v>
      </c>
      <c r="C428" s="616">
        <f>IF(A406&lt;=$F$3,L402,0)</f>
        <v>0</v>
      </c>
      <c r="D428" s="617">
        <f>IF(A406&lt;=$F$3,M402,0)</f>
        <v>0</v>
      </c>
      <c r="E428" s="650">
        <f>IF(A406&lt;=$F$3,N402,0)</f>
        <v>0</v>
      </c>
      <c r="F428" s="616"/>
      <c r="G428" s="617"/>
      <c r="H428" s="598"/>
      <c r="I428" s="616"/>
      <c r="J428" s="617"/>
      <c r="K428" s="598"/>
      <c r="L428" s="616">
        <f>IF(A406&lt;=$F$3,C428+F428-I428,0)</f>
        <v>0</v>
      </c>
      <c r="M428" s="617">
        <f>IF(A406&lt;=$F$3,D428+G428-J428,0)</f>
        <v>0</v>
      </c>
      <c r="N428" s="598">
        <f>IF(A406&lt;=$F$3,E428+H428-K428,0)</f>
        <v>0</v>
      </c>
      <c r="O428" s="635">
        <f>IF(A406&lt;=$F$3,F428*Q428+G428*R428+H428*S428,0)</f>
        <v>0</v>
      </c>
      <c r="P428" s="636">
        <f>IF(A406&lt;=$F$3,I428*Q428+J428*R428+K428*S428,0)</f>
        <v>0</v>
      </c>
      <c r="Q428" s="651">
        <f t="shared" si="152"/>
        <v>52550.000000000044</v>
      </c>
      <c r="R428" s="652">
        <f t="shared" si="152"/>
        <v>81020.160000000062</v>
      </c>
      <c r="S428" s="653">
        <f t="shared" si="152"/>
        <v>84960.160000000062</v>
      </c>
      <c r="T428" s="651">
        <f t="shared" si="149"/>
        <v>0</v>
      </c>
      <c r="U428" s="654" t="e">
        <f>$AH$6*(1-AE$31)*((1+HLOOKUP($A$406,FC_Premissas!$D$5:$W$16,14,FALSE)^0.0833-1))*L428*12</f>
        <v>#REF!</v>
      </c>
      <c r="V428" s="652">
        <f t="shared" si="150"/>
        <v>0</v>
      </c>
      <c r="W428" s="678" t="e">
        <f>$AP$6*(1-AM$31)*((1+HLOOKUP($A$406,FC_Premissas!$D$5:$W$16,14,FALSE))^0.0833-1)*M428*12</f>
        <v>#REF!</v>
      </c>
      <c r="X428" s="651">
        <f t="shared" si="151"/>
        <v>0</v>
      </c>
      <c r="Y428" s="654" t="e">
        <f>$AX$6*(1-AU$31)*((1+HLOOKUP($A$406,FC_Premissas!$D$5:$W$16,14,FALSE))^0.0833-1)*N428*12</f>
        <v>#REF!</v>
      </c>
      <c r="Z428" s="652">
        <f t="shared" si="148"/>
        <v>0</v>
      </c>
      <c r="AA428" s="654" t="e">
        <f t="shared" si="148"/>
        <v>#REF!</v>
      </c>
      <c r="AB428" s="641"/>
    </row>
    <row r="429" spans="1:28" hidden="1" x14ac:dyDescent="0.2">
      <c r="A429" s="984"/>
      <c r="B429" s="655" t="s">
        <v>1228</v>
      </c>
      <c r="C429" s="656">
        <f t="shared" ref="C429:P429" si="153">SUM(C408:C428)</f>
        <v>0</v>
      </c>
      <c r="D429" s="657">
        <f t="shared" si="153"/>
        <v>0</v>
      </c>
      <c r="E429" s="658">
        <f t="shared" si="153"/>
        <v>0</v>
      </c>
      <c r="F429" s="656">
        <f t="shared" si="153"/>
        <v>0</v>
      </c>
      <c r="G429" s="657">
        <f t="shared" si="153"/>
        <v>0</v>
      </c>
      <c r="H429" s="658">
        <f t="shared" si="153"/>
        <v>0</v>
      </c>
      <c r="I429" s="656">
        <f t="shared" si="153"/>
        <v>0</v>
      </c>
      <c r="J429" s="657">
        <f t="shared" si="153"/>
        <v>0</v>
      </c>
      <c r="K429" s="658">
        <f t="shared" si="153"/>
        <v>0</v>
      </c>
      <c r="L429" s="656">
        <f t="shared" si="153"/>
        <v>0</v>
      </c>
      <c r="M429" s="657">
        <f t="shared" si="153"/>
        <v>0</v>
      </c>
      <c r="N429" s="657">
        <f t="shared" si="153"/>
        <v>0</v>
      </c>
      <c r="O429" s="659">
        <f t="shared" si="153"/>
        <v>0</v>
      </c>
      <c r="P429" s="660">
        <f t="shared" si="153"/>
        <v>0</v>
      </c>
      <c r="Q429" s="638"/>
      <c r="R429" s="638"/>
      <c r="S429" s="638"/>
      <c r="T429" s="661">
        <f t="shared" ref="T429:AA429" si="154">SUM(T408:T428)</f>
        <v>0</v>
      </c>
      <c r="U429" s="662" t="e">
        <f t="shared" si="154"/>
        <v>#REF!</v>
      </c>
      <c r="V429" s="663">
        <f t="shared" si="154"/>
        <v>0</v>
      </c>
      <c r="W429" s="662" t="e">
        <f t="shared" si="154"/>
        <v>#REF!</v>
      </c>
      <c r="X429" s="663">
        <f t="shared" si="154"/>
        <v>0</v>
      </c>
      <c r="Y429" s="662" t="e">
        <f t="shared" si="154"/>
        <v>#REF!</v>
      </c>
      <c r="Z429" s="663">
        <f t="shared" si="154"/>
        <v>0</v>
      </c>
      <c r="AA429" s="664" t="e">
        <f t="shared" si="154"/>
        <v>#REF!</v>
      </c>
      <c r="AB429" s="641"/>
    </row>
    <row r="430" spans="1:28" hidden="1" x14ac:dyDescent="0.2">
      <c r="A430" s="985"/>
      <c r="B430" s="977" t="s">
        <v>1229</v>
      </c>
      <c r="C430" s="977"/>
      <c r="D430" s="977"/>
      <c r="E430" s="666" t="e">
        <f>(L430*L429+M430*M429+N430*N429)/(L429+M429+N429)</f>
        <v>#DIV/0!</v>
      </c>
      <c r="F430" s="665" t="s">
        <v>140</v>
      </c>
      <c r="G430" s="665"/>
      <c r="H430" s="665"/>
      <c r="I430" s="665"/>
      <c r="J430" s="665"/>
      <c r="K430" s="665"/>
      <c r="L430" s="887">
        <f>IF(L429=0,0,(SUMPRODUCT(L408:L428,$B408:$B428)/L429))</f>
        <v>0</v>
      </c>
      <c r="M430" s="887">
        <f>IF(M429=0,0,(SUMPRODUCT(M408:M428,$B408:$B428)/M429))</f>
        <v>0</v>
      </c>
      <c r="N430" s="887">
        <f>IF(N429=0,0,ROUND(SUMPRODUCT(N408:N428,$B408:$B428)/N429,0))</f>
        <v>0</v>
      </c>
      <c r="O430" s="667"/>
      <c r="P430" s="668"/>
      <c r="Q430" s="638"/>
      <c r="R430" s="638"/>
      <c r="S430" s="638"/>
      <c r="T430" s="638"/>
      <c r="U430" s="669"/>
      <c r="V430" s="638"/>
      <c r="W430" s="669"/>
      <c r="X430" s="638"/>
      <c r="Y430" s="669"/>
      <c r="Z430" s="638"/>
      <c r="AA430" s="669"/>
    </row>
    <row r="431" spans="1:28" ht="12.75" hidden="1" customHeight="1" x14ac:dyDescent="0.2">
      <c r="A431" s="983">
        <f>A406+1</f>
        <v>18</v>
      </c>
      <c r="B431" s="986" t="s">
        <v>1077</v>
      </c>
      <c r="C431" s="988" t="s">
        <v>1202</v>
      </c>
      <c r="D431" s="989"/>
      <c r="E431" s="990"/>
      <c r="F431" s="991" t="s">
        <v>1203</v>
      </c>
      <c r="G431" s="992"/>
      <c r="H431" s="993"/>
      <c r="I431" s="991" t="s">
        <v>1204</v>
      </c>
      <c r="J431" s="992"/>
      <c r="K431" s="993"/>
      <c r="L431" s="991" t="s">
        <v>1205</v>
      </c>
      <c r="M431" s="992"/>
      <c r="N431" s="992"/>
      <c r="O431" s="978" t="s">
        <v>1206</v>
      </c>
      <c r="P431" s="979"/>
      <c r="Q431" s="980" t="s">
        <v>1207</v>
      </c>
      <c r="R431" s="981"/>
      <c r="S431" s="982"/>
      <c r="T431" s="607" t="s">
        <v>1208</v>
      </c>
      <c r="U431" s="609" t="s">
        <v>1209</v>
      </c>
      <c r="V431" s="608" t="s">
        <v>1210</v>
      </c>
      <c r="W431" s="610" t="s">
        <v>1211</v>
      </c>
      <c r="X431" s="607" t="s">
        <v>1210</v>
      </c>
      <c r="Y431" s="609" t="s">
        <v>1211</v>
      </c>
      <c r="Z431" s="607" t="s">
        <v>1210</v>
      </c>
      <c r="AA431" s="609" t="s">
        <v>1211</v>
      </c>
    </row>
    <row r="432" spans="1:28" hidden="1" x14ac:dyDescent="0.2">
      <c r="A432" s="984"/>
      <c r="B432" s="987"/>
      <c r="C432" s="616" t="str">
        <f>$C$7</f>
        <v>Mini</v>
      </c>
      <c r="D432" s="617" t="str">
        <f>$D$7</f>
        <v>Midi</v>
      </c>
      <c r="E432" s="617" t="str">
        <f>$E$7</f>
        <v>Básico</v>
      </c>
      <c r="F432" s="616" t="str">
        <f>$C$7</f>
        <v>Mini</v>
      </c>
      <c r="G432" s="617" t="str">
        <f>$D$7</f>
        <v>Midi</v>
      </c>
      <c r="H432" s="617" t="str">
        <f>$E$7</f>
        <v>Básico</v>
      </c>
      <c r="I432" s="616" t="str">
        <f>$C$7</f>
        <v>Mini</v>
      </c>
      <c r="J432" s="617" t="str">
        <f>$D$7</f>
        <v>Midi</v>
      </c>
      <c r="K432" s="617" t="str">
        <f>$E$7</f>
        <v>Básico</v>
      </c>
      <c r="L432" s="616" t="str">
        <f>$C$7</f>
        <v>Mini</v>
      </c>
      <c r="M432" s="617" t="str">
        <f>$D$7</f>
        <v>Midi</v>
      </c>
      <c r="N432" s="617" t="str">
        <f>$E$7</f>
        <v>Básico</v>
      </c>
      <c r="O432" s="667" t="s">
        <v>1203</v>
      </c>
      <c r="P432" s="668" t="s">
        <v>1204</v>
      </c>
      <c r="Q432" s="620" t="str">
        <f>C432</f>
        <v>Mini</v>
      </c>
      <c r="R432" s="621" t="str">
        <f>D432</f>
        <v>Midi</v>
      </c>
      <c r="S432" s="622" t="str">
        <f>E432</f>
        <v>Básico</v>
      </c>
      <c r="T432" s="623" t="str">
        <f>C432</f>
        <v>Mini</v>
      </c>
      <c r="U432" s="624" t="str">
        <f>C432</f>
        <v>Mini</v>
      </c>
      <c r="V432" s="625" t="str">
        <f>D432</f>
        <v>Midi</v>
      </c>
      <c r="W432" s="626" t="str">
        <f>D432</f>
        <v>Midi</v>
      </c>
      <c r="X432" s="623" t="str">
        <f>E432</f>
        <v>Básico</v>
      </c>
      <c r="Y432" s="624" t="str">
        <f>E432</f>
        <v>Básico</v>
      </c>
      <c r="Z432" s="627" t="s">
        <v>1218</v>
      </c>
      <c r="AA432" s="628" t="s">
        <v>1218</v>
      </c>
    </row>
    <row r="433" spans="1:28" hidden="1" x14ac:dyDescent="0.2">
      <c r="A433" s="984"/>
      <c r="B433" s="633">
        <v>0</v>
      </c>
      <c r="C433" s="634">
        <v>0</v>
      </c>
      <c r="F433" s="679"/>
      <c r="G433" s="680"/>
      <c r="H433" s="680"/>
      <c r="I433" s="679"/>
      <c r="J433" s="680"/>
      <c r="K433" s="680"/>
      <c r="L433" s="634">
        <f>IF(A431&lt;=$F$3,C433+F433-I433,0)</f>
        <v>0</v>
      </c>
      <c r="M433" s="598">
        <f>IF(A431&lt;=$F$3,D433+G433-J433,0)</f>
        <v>0</v>
      </c>
      <c r="N433" s="598">
        <f>IF(A431&lt;=$F$3,E433+H433-K433,0)</f>
        <v>0</v>
      </c>
      <c r="O433" s="635">
        <f>IF(A431&lt;=$F$3,F433*Q433+G433*R433+H433*S433,0)</f>
        <v>0</v>
      </c>
      <c r="P433" s="636">
        <f>IF(A431&lt;=$F$3,I433*Q433+J433*R433+K433*S433,0)</f>
        <v>0</v>
      </c>
      <c r="Q433" s="637">
        <f t="shared" ref="Q433:S448" si="155">Q408</f>
        <v>525500</v>
      </c>
      <c r="R433" s="638">
        <f t="shared" si="155"/>
        <v>703800</v>
      </c>
      <c r="S433" s="639">
        <f t="shared" si="155"/>
        <v>743200</v>
      </c>
      <c r="T433" s="637">
        <f>L433*$AH$6*AD$12</f>
        <v>0</v>
      </c>
      <c r="U433" s="640" t="e">
        <f>$AH$6*(1-AE$11)*((1+HLOOKUP($A$431,FC_Premissas!$D$5:$W$16,14,FALSE)^0.0833-1))*L433*12</f>
        <v>#REF!</v>
      </c>
      <c r="V433" s="638">
        <f>M433*$AP$6*AL$12</f>
        <v>0</v>
      </c>
      <c r="W433" s="669" t="e">
        <f>$AP$6*(1-AM$11)*((1+HLOOKUP($A$431,FC_Premissas!$D$5:$W$16,14,FALSE)^0.0833-1))*M433*12</f>
        <v>#REF!</v>
      </c>
      <c r="X433" s="637">
        <f>N433*$AX$6*AT$12</f>
        <v>0</v>
      </c>
      <c r="Y433" s="640" t="e">
        <f>$AX$6*(1-AU$11)*((1+HLOOKUP($A$431,FC_Premissas!$D$5:$W$16,14,FALSE)^0.0833-1))*N433*12</f>
        <v>#REF!</v>
      </c>
      <c r="Z433" s="638">
        <f t="shared" ref="Z433:AA453" si="156">T433+V433+X433</f>
        <v>0</v>
      </c>
      <c r="AA433" s="669" t="e">
        <f t="shared" si="156"/>
        <v>#REF!</v>
      </c>
      <c r="AB433" s="641"/>
    </row>
    <row r="434" spans="1:28" hidden="1" x14ac:dyDescent="0.2">
      <c r="A434" s="984"/>
      <c r="B434" s="633">
        <v>1</v>
      </c>
      <c r="C434" s="634">
        <f>IF(A431&lt;=$F$3,L408,0)</f>
        <v>0</v>
      </c>
      <c r="D434" s="598">
        <f>IF(A431&lt;=$F$3,M408,0)</f>
        <v>0</v>
      </c>
      <c r="E434" s="598">
        <f>IF(A431&lt;=$F$3,N408,0)</f>
        <v>0</v>
      </c>
      <c r="F434" s="679"/>
      <c r="G434" s="680"/>
      <c r="H434" s="680"/>
      <c r="I434" s="681"/>
      <c r="J434" s="680"/>
      <c r="K434" s="680"/>
      <c r="L434" s="634">
        <f>IF(A431&lt;=$F$3,C434+F434-I434,0)</f>
        <v>0</v>
      </c>
      <c r="M434" s="598">
        <f>IF(A431&lt;=$F$3,D434+G434-J434,0)</f>
        <v>0</v>
      </c>
      <c r="N434" s="598">
        <f>IF(A431&lt;=$F$3,E434+H434-K434,0)</f>
        <v>0</v>
      </c>
      <c r="O434" s="635">
        <f>IF(A431&lt;=$F$3,F434*Q434+G434*R434+H434*S434,0)</f>
        <v>0</v>
      </c>
      <c r="P434" s="636">
        <f>IF(A431&lt;=$F$3,I434*Q434+J434*R434+K434*S434,0)</f>
        <v>0</v>
      </c>
      <c r="Q434" s="637">
        <f t="shared" si="155"/>
        <v>439509.09090909094</v>
      </c>
      <c r="R434" s="638">
        <f t="shared" si="155"/>
        <v>590567.30181818188</v>
      </c>
      <c r="S434" s="639">
        <f t="shared" si="155"/>
        <v>623520.02909090917</v>
      </c>
      <c r="T434" s="637">
        <f>L434*$AH$6*AD$13</f>
        <v>0</v>
      </c>
      <c r="U434" s="640" t="e">
        <f>$AH$6*(1-AE$12)*((1+HLOOKUP($A$431,FC_Premissas!$D$5:$W$16,14,FALSE)^0.0833-1))*L434*12</f>
        <v>#REF!</v>
      </c>
      <c r="V434" s="638">
        <f>M434*$AP$6*AL$13</f>
        <v>0</v>
      </c>
      <c r="W434" s="669" t="e">
        <f>$AP$6*(1-AM$12)*((1+HLOOKUP($A$431,FC_Premissas!$D$5:$W$16,14,FALSE))^0.0833-1)*M434*12</f>
        <v>#REF!</v>
      </c>
      <c r="X434" s="637">
        <f>N434*$AX$6*AT$13</f>
        <v>0</v>
      </c>
      <c r="Y434" s="640" t="e">
        <f>$AX$6*(1-AU$12)*((1+HLOOKUP($A$431,FC_Premissas!$D$5:$W$16,14,FALSE))^0.0833-1)*N434*12</f>
        <v>#REF!</v>
      </c>
      <c r="Z434" s="638">
        <f t="shared" si="156"/>
        <v>0</v>
      </c>
      <c r="AA434" s="669" t="e">
        <f t="shared" si="156"/>
        <v>#REF!</v>
      </c>
      <c r="AB434" s="641"/>
    </row>
    <row r="435" spans="1:28" hidden="1" x14ac:dyDescent="0.2">
      <c r="A435" s="984"/>
      <c r="B435" s="633">
        <v>2</v>
      </c>
      <c r="C435" s="634">
        <f>IF(A431&lt;=$F$3,L409,0)</f>
        <v>0</v>
      </c>
      <c r="D435" s="598">
        <f>IF(A431&lt;=$F$3,M409,0)</f>
        <v>0</v>
      </c>
      <c r="E435" s="598">
        <f>IF(A431&lt;=$F$3,N409,0)</f>
        <v>0</v>
      </c>
      <c r="F435" s="679"/>
      <c r="G435" s="680"/>
      <c r="H435" s="680"/>
      <c r="I435" s="679"/>
      <c r="J435" s="680"/>
      <c r="K435" s="680"/>
      <c r="L435" s="634">
        <f>IF(A431&lt;=$F$3,C435+F435-I435,0)</f>
        <v>0</v>
      </c>
      <c r="M435" s="598">
        <f>IF(A431&lt;=$F$3,D435+G435-J435,0)</f>
        <v>0</v>
      </c>
      <c r="N435" s="598">
        <f>IF(A431&lt;=$F$3,E435+H435-K435,0)</f>
        <v>0</v>
      </c>
      <c r="O435" s="635">
        <f>IF(A431&lt;=$F$3,F435*Q435+G435*R435+H435*S435,0)</f>
        <v>0</v>
      </c>
      <c r="P435" s="636">
        <f>IF(A431&lt;=$F$3,I435*Q435+J435*R435+K435*S435,0)</f>
        <v>0</v>
      </c>
      <c r="Q435" s="637">
        <f t="shared" si="155"/>
        <v>362117.27272727271</v>
      </c>
      <c r="R435" s="638">
        <f t="shared" si="155"/>
        <v>488657.87345454545</v>
      </c>
      <c r="S435" s="639">
        <f t="shared" si="155"/>
        <v>515808.05527272727</v>
      </c>
      <c r="T435" s="637">
        <f>L435*$AH$6*AD$14</f>
        <v>0</v>
      </c>
      <c r="U435" s="640" t="e">
        <f>$AH$6*(1-AE$13)*((1+HLOOKUP($A$431,FC_Premissas!$D$5:$W$16,14,FALSE)^0.0833-1))*L435*12</f>
        <v>#REF!</v>
      </c>
      <c r="V435" s="638">
        <f>M435*$AP$6*AL$14</f>
        <v>0</v>
      </c>
      <c r="W435" s="669" t="e">
        <f>$AP$6*(1-AM$13)*((1+HLOOKUP($A$431,FC_Premissas!$D$5:$W$16,14,FALSE))^0.0833-1)*M435*12</f>
        <v>#REF!</v>
      </c>
      <c r="X435" s="637">
        <f>N435*$AX$6*AT$14</f>
        <v>0</v>
      </c>
      <c r="Y435" s="640" t="e">
        <f>$AX$6*(1-AU$13)*((1+HLOOKUP($A$431,FC_Premissas!$D$5:$W$16,14,FALSE))^0.0833-1)*N435*12</f>
        <v>#REF!</v>
      </c>
      <c r="Z435" s="638">
        <f t="shared" si="156"/>
        <v>0</v>
      </c>
      <c r="AA435" s="669" t="e">
        <f t="shared" si="156"/>
        <v>#REF!</v>
      </c>
      <c r="AB435" s="641"/>
    </row>
    <row r="436" spans="1:28" hidden="1" x14ac:dyDescent="0.2">
      <c r="A436" s="984"/>
      <c r="B436" s="633">
        <v>3</v>
      </c>
      <c r="C436" s="634">
        <f>IF(A431&lt;=$F$3,L410,0)</f>
        <v>0</v>
      </c>
      <c r="D436" s="598">
        <f>IF(A431&lt;=$F$3,M410,0)</f>
        <v>0</v>
      </c>
      <c r="E436" s="598">
        <f>IF(A431&lt;=$F$3,N410,0)</f>
        <v>0</v>
      </c>
      <c r="F436" s="679"/>
      <c r="G436" s="680"/>
      <c r="H436" s="680"/>
      <c r="I436" s="679"/>
      <c r="J436" s="680"/>
      <c r="K436" s="680"/>
      <c r="L436" s="634">
        <f>IF(A431&lt;=$F$3,C436+F436-I436,0)</f>
        <v>0</v>
      </c>
      <c r="M436" s="598">
        <f>IF(A431&lt;=$F$3,D436+G436-J436,0)</f>
        <v>0</v>
      </c>
      <c r="N436" s="598">
        <f>IF(A431&lt;=$F$3,E436+H436-K436,0)</f>
        <v>0</v>
      </c>
      <c r="O436" s="635">
        <f>IF(A431&lt;=$F$3,F436*Q436+G436*R436+H436*S436,0)</f>
        <v>0</v>
      </c>
      <c r="P436" s="636">
        <f>IF(A431&lt;=$F$3,I436*Q436+J436*R436+K436*S436,0)</f>
        <v>0</v>
      </c>
      <c r="Q436" s="637">
        <f t="shared" si="155"/>
        <v>293324.54545454541</v>
      </c>
      <c r="R436" s="638">
        <f t="shared" si="155"/>
        <v>398071.71490909089</v>
      </c>
      <c r="S436" s="639">
        <f t="shared" si="155"/>
        <v>420064.07854545448</v>
      </c>
      <c r="T436" s="637">
        <f>L436*$AH$6*AD$15</f>
        <v>0</v>
      </c>
      <c r="U436" s="640" t="e">
        <f>$AH$6*(1-AE$14)*((1+HLOOKUP($A$431,FC_Premissas!$D$5:$W$16,14,FALSE)^0.0833-1))*L436*12</f>
        <v>#REF!</v>
      </c>
      <c r="V436" s="638">
        <f>M436*$AP$6*AL$15</f>
        <v>0</v>
      </c>
      <c r="W436" s="669" t="e">
        <f>$AP$6*(1-AM$14)*((1+HLOOKUP($A$431,FC_Premissas!$D$5:$W$16,14,FALSE))^0.0833-1)*M436*12</f>
        <v>#REF!</v>
      </c>
      <c r="X436" s="637">
        <f>N436*$AX$6*AT$15</f>
        <v>0</v>
      </c>
      <c r="Y436" s="640" t="e">
        <f>$AX$6*(1-AU$14)*((1+HLOOKUP($A$431,FC_Premissas!$D$5:$W$16,14,FALSE))^0.0833-1)*N436*12</f>
        <v>#REF!</v>
      </c>
      <c r="Z436" s="638">
        <f t="shared" si="156"/>
        <v>0</v>
      </c>
      <c r="AA436" s="669" t="e">
        <f t="shared" si="156"/>
        <v>#REF!</v>
      </c>
      <c r="AB436" s="641"/>
    </row>
    <row r="437" spans="1:28" hidden="1" x14ac:dyDescent="0.2">
      <c r="A437" s="984"/>
      <c r="B437" s="633">
        <v>4</v>
      </c>
      <c r="C437" s="634">
        <f>IF(A431&lt;=$F$3,L411,0)</f>
        <v>0</v>
      </c>
      <c r="D437" s="598">
        <f>IF(A431&lt;=$F$3,M411,0)</f>
        <v>0</v>
      </c>
      <c r="E437" s="598">
        <f>IF(A431&lt;=$F$3,N411,0)</f>
        <v>0</v>
      </c>
      <c r="F437" s="679"/>
      <c r="G437" s="680"/>
      <c r="H437" s="680"/>
      <c r="I437" s="679"/>
      <c r="J437" s="680"/>
      <c r="K437" s="680"/>
      <c r="L437" s="634">
        <f>IF(A431&lt;=$F$3,C437+F437-I437,0)</f>
        <v>0</v>
      </c>
      <c r="M437" s="598">
        <f>IF(A431&lt;=$F$3,D437+G437-J437,0)</f>
        <v>0</v>
      </c>
      <c r="N437" s="598">
        <f>IF(A431&lt;=$F$3,E437+H437-K437,0)</f>
        <v>0</v>
      </c>
      <c r="O437" s="635">
        <f>IF(A431&lt;=$F$3,F437*Q437+G437*R437+H437*S437,0)</f>
        <v>0</v>
      </c>
      <c r="P437" s="636">
        <f>IF(A431&lt;=$F$3,I437*Q437+J437*R437+K437*S437,0)</f>
        <v>0</v>
      </c>
      <c r="Q437" s="637">
        <f t="shared" si="155"/>
        <v>233130.90909090909</v>
      </c>
      <c r="R437" s="638">
        <f t="shared" si="155"/>
        <v>318808.82618181815</v>
      </c>
      <c r="S437" s="639">
        <f t="shared" si="155"/>
        <v>336288.09890909091</v>
      </c>
      <c r="T437" s="637">
        <f>L437*$AH$6*AD$16</f>
        <v>0</v>
      </c>
      <c r="U437" s="640" t="e">
        <f>$AH$6*(1-AE$15)*((1+HLOOKUP($A$431,FC_Premissas!$D$5:$W$16,14,FALSE)^0.0833-1))*L437*12</f>
        <v>#REF!</v>
      </c>
      <c r="V437" s="638">
        <f>M437*$AP$6*AL$16</f>
        <v>0</v>
      </c>
      <c r="W437" s="669" t="e">
        <f>$AP$6*(1-AM$15)*((1+HLOOKUP($A$431,FC_Premissas!$D$5:$W$16,14,FALSE))^0.0833-1)*M437*12</f>
        <v>#REF!</v>
      </c>
      <c r="X437" s="637">
        <f>N437*$AX$6*AT$16</f>
        <v>0</v>
      </c>
      <c r="Y437" s="640" t="e">
        <f>$AX$6*(1-AU$15)*((1+HLOOKUP($A$431,FC_Premissas!$D$5:$W$16,14,FALSE))^0.0833-1)*N437*12</f>
        <v>#REF!</v>
      </c>
      <c r="Z437" s="638">
        <f t="shared" si="156"/>
        <v>0</v>
      </c>
      <c r="AA437" s="669" t="e">
        <f t="shared" si="156"/>
        <v>#REF!</v>
      </c>
      <c r="AB437" s="641"/>
    </row>
    <row r="438" spans="1:28" hidden="1" x14ac:dyDescent="0.2">
      <c r="A438" s="984"/>
      <c r="B438" s="633">
        <v>5</v>
      </c>
      <c r="C438" s="634">
        <f>IF(A431&lt;=$F$3,L412,0)</f>
        <v>0</v>
      </c>
      <c r="D438" s="598">
        <f>IF(A431&lt;=$F$3,M412,0)</f>
        <v>0</v>
      </c>
      <c r="E438" s="598">
        <f>IF(A431&lt;=$F$3,N412,0)</f>
        <v>0</v>
      </c>
      <c r="F438" s="679"/>
      <c r="G438" s="680"/>
      <c r="H438" s="680"/>
      <c r="I438" s="679"/>
      <c r="J438" s="680"/>
      <c r="K438" s="680"/>
      <c r="L438" s="634">
        <f>IF(A431&lt;=$F$3,C438+F438-I438,0)</f>
        <v>0</v>
      </c>
      <c r="M438" s="598">
        <f>IF(A431&lt;=$F$3,D438+G438-J438,0)</f>
        <v>0</v>
      </c>
      <c r="N438" s="598">
        <f>IF(A431&lt;=$F$3,E438+H438-K438,0)</f>
        <v>0</v>
      </c>
      <c r="O438" s="635">
        <f>IF(A431&lt;=$F$3,F438*Q438+G438*R438+H438*S438,0)</f>
        <v>0</v>
      </c>
      <c r="P438" s="636">
        <f>IF(A431&lt;=$F$3,I438*Q438+J438*R438+K438*S438,0)</f>
        <v>0</v>
      </c>
      <c r="Q438" s="637">
        <f t="shared" si="155"/>
        <v>181536.36363636365</v>
      </c>
      <c r="R438" s="638">
        <f t="shared" si="155"/>
        <v>250869.20727272728</v>
      </c>
      <c r="S438" s="639">
        <f t="shared" si="155"/>
        <v>264480.11636363639</v>
      </c>
      <c r="T438" s="637">
        <f>L438*$AH$6*AD$17</f>
        <v>0</v>
      </c>
      <c r="U438" s="640" t="e">
        <f>$AH$6*(1-AE$16)*((1+HLOOKUP($A$431,FC_Premissas!$D$5:$W$16,14,FALSE)^0.0833-1))*L438*12</f>
        <v>#REF!</v>
      </c>
      <c r="V438" s="638">
        <f>M438*$AP$6*AL$17</f>
        <v>0</v>
      </c>
      <c r="W438" s="669" t="e">
        <f>$AP$6*(1-AM$16)*((1+HLOOKUP($A$431,FC_Premissas!$D$5:$W$16,14,FALSE))^0.0833-1)*M438*12</f>
        <v>#REF!</v>
      </c>
      <c r="X438" s="637">
        <f>N438*$AX$6*AT$17</f>
        <v>0</v>
      </c>
      <c r="Y438" s="640" t="e">
        <f>$AX$6*(1-AU$16)*((1+HLOOKUP($A$431,FC_Premissas!$D$5:$W$16,14,FALSE))^0.0833-1)*N438*12</f>
        <v>#REF!</v>
      </c>
      <c r="Z438" s="638">
        <f t="shared" si="156"/>
        <v>0</v>
      </c>
      <c r="AA438" s="669" t="e">
        <f t="shared" si="156"/>
        <v>#REF!</v>
      </c>
      <c r="AB438" s="641"/>
    </row>
    <row r="439" spans="1:28" hidden="1" x14ac:dyDescent="0.2">
      <c r="A439" s="984"/>
      <c r="B439" s="633">
        <v>6</v>
      </c>
      <c r="C439" s="634">
        <f>IF(A431&lt;=$F$3,L413,0)</f>
        <v>0</v>
      </c>
      <c r="D439" s="598">
        <f>IF(A431&lt;=$F$3,M413,0)</f>
        <v>0</v>
      </c>
      <c r="E439" s="598">
        <f>IF(A431&lt;=$F$3,N413,0)</f>
        <v>0</v>
      </c>
      <c r="F439" s="679"/>
      <c r="G439" s="680"/>
      <c r="H439" s="680"/>
      <c r="I439" s="679"/>
      <c r="J439" s="680"/>
      <c r="K439" s="680"/>
      <c r="L439" s="634">
        <f>IF(A431&lt;=$F$3,C439+F439-I439,0)</f>
        <v>0</v>
      </c>
      <c r="M439" s="598">
        <f>IF(A431&lt;=$F$3,D439+G439-J439,0)</f>
        <v>0</v>
      </c>
      <c r="N439" s="598">
        <f>IF(A431&lt;=$F$3,E439+H439-K439,0)</f>
        <v>0</v>
      </c>
      <c r="O439" s="635">
        <f>IF(A431&lt;=$F$3,F439*Q439+G439*R439+H439*S439,0)</f>
        <v>0</v>
      </c>
      <c r="P439" s="636">
        <f>IF(A431&lt;=$F$3,I439*Q439+J439*R439+K439*S439,0)</f>
        <v>0</v>
      </c>
      <c r="Q439" s="637">
        <f t="shared" si="155"/>
        <v>138540.90909090912</v>
      </c>
      <c r="R439" s="638">
        <f t="shared" si="155"/>
        <v>194252.85818181818</v>
      </c>
      <c r="S439" s="639">
        <f t="shared" si="155"/>
        <v>204640.13090909092</v>
      </c>
      <c r="T439" s="637">
        <f>L439*$AH$6*AD$18</f>
        <v>0</v>
      </c>
      <c r="U439" s="640" t="e">
        <f>$AH$6*(1-AE$17)*((1+HLOOKUP($A$431,FC_Premissas!$D$5:$W$16,14,FALSE)^0.0833-1))*L439*12</f>
        <v>#REF!</v>
      </c>
      <c r="V439" s="638">
        <f>M439*$AP$6*AL$18</f>
        <v>0</v>
      </c>
      <c r="W439" s="669" t="e">
        <f>$AP$6*(1-AM$17)*((1+HLOOKUP($A$431,FC_Premissas!$D$5:$W$16,14,FALSE))^0.0833-1)*M439*12</f>
        <v>#REF!</v>
      </c>
      <c r="X439" s="637">
        <f>N439*$AX$6*AT$18</f>
        <v>0</v>
      </c>
      <c r="Y439" s="640" t="e">
        <f>$AX$6*(1-AU$17)*((1+HLOOKUP($A$431,FC_Premissas!$D$5:$W$16,14,FALSE))^0.0833-1)*N439*12</f>
        <v>#REF!</v>
      </c>
      <c r="Z439" s="638">
        <f t="shared" si="156"/>
        <v>0</v>
      </c>
      <c r="AA439" s="669" t="e">
        <f t="shared" si="156"/>
        <v>#REF!</v>
      </c>
      <c r="AB439" s="641"/>
    </row>
    <row r="440" spans="1:28" hidden="1" x14ac:dyDescent="0.2">
      <c r="A440" s="984"/>
      <c r="B440" s="633">
        <v>7</v>
      </c>
      <c r="C440" s="634">
        <f>IF(A431&lt;=$F$3,L414,0)</f>
        <v>0</v>
      </c>
      <c r="D440" s="598">
        <f>IF(A431&lt;=$F$3,M414,0)</f>
        <v>0</v>
      </c>
      <c r="E440" s="598">
        <f>IF(A431&lt;=$F$3,N414,0)</f>
        <v>0</v>
      </c>
      <c r="F440" s="679"/>
      <c r="G440" s="680"/>
      <c r="H440" s="680"/>
      <c r="I440" s="679"/>
      <c r="J440" s="680"/>
      <c r="K440" s="680"/>
      <c r="L440" s="634">
        <f>IF(A431&lt;=$F$3,C440+F440-I440,0)</f>
        <v>0</v>
      </c>
      <c r="M440" s="598">
        <f>IF(A431&lt;=$F$3,D440+G440-J440,0)</f>
        <v>0</v>
      </c>
      <c r="N440" s="598">
        <f>IF(A431&lt;=$F$3,E440+H440-K440,0)</f>
        <v>0</v>
      </c>
      <c r="O440" s="635">
        <f>IF(A431&lt;=$F$3,F440*Q440+G440*R440+H440*S440,0)</f>
        <v>0</v>
      </c>
      <c r="P440" s="636">
        <f>IF(A431&lt;=$F$3,I440*Q440+J440*R440+K440*S440,0)</f>
        <v>0</v>
      </c>
      <c r="Q440" s="637">
        <f t="shared" si="155"/>
        <v>104144.54545454548</v>
      </c>
      <c r="R440" s="638">
        <f t="shared" si="155"/>
        <v>148959.77890909094</v>
      </c>
      <c r="S440" s="639">
        <f t="shared" si="155"/>
        <v>156768.14254545458</v>
      </c>
      <c r="T440" s="637">
        <f>L440*$AH$6*AD$19</f>
        <v>0</v>
      </c>
      <c r="U440" s="640" t="e">
        <f>$AH$6*(1-AE$18)*((1+HLOOKUP($A$431,FC_Premissas!$D$5:$W$16,14,FALSE)^0.0833-1))*L440*12</f>
        <v>#REF!</v>
      </c>
      <c r="V440" s="638">
        <f>M440*$AP$6*AL$19</f>
        <v>0</v>
      </c>
      <c r="W440" s="669" t="e">
        <f>$AP$6*(1-AM$18)*((1+HLOOKUP($A$431,FC_Premissas!$D$5:$W$16,14,FALSE))^0.0833-1)*M440*12</f>
        <v>#REF!</v>
      </c>
      <c r="X440" s="637">
        <f>N440*$AX$6*AT$19</f>
        <v>0</v>
      </c>
      <c r="Y440" s="640" t="e">
        <f>$AX$6*(1-AU$18)*((1+HLOOKUP($A$431,FC_Premissas!$D$5:$W$16,14,FALSE))^0.0833-1)*N440*12</f>
        <v>#REF!</v>
      </c>
      <c r="Z440" s="638">
        <f t="shared" si="156"/>
        <v>0</v>
      </c>
      <c r="AA440" s="669" t="e">
        <f t="shared" si="156"/>
        <v>#REF!</v>
      </c>
      <c r="AB440" s="641"/>
    </row>
    <row r="441" spans="1:28" hidden="1" x14ac:dyDescent="0.2">
      <c r="A441" s="984"/>
      <c r="B441" s="633">
        <v>8</v>
      </c>
      <c r="C441" s="634">
        <f>IF(A431&lt;=$F$3,L415,0)</f>
        <v>0</v>
      </c>
      <c r="D441" s="598">
        <f>IF(A431&lt;=$F$3,M415,0)</f>
        <v>0</v>
      </c>
      <c r="E441" s="598">
        <f>IF(A431&lt;=$F$3,N415,0)</f>
        <v>0</v>
      </c>
      <c r="F441" s="679"/>
      <c r="G441" s="680"/>
      <c r="H441" s="680"/>
      <c r="I441" s="679"/>
      <c r="J441" s="680"/>
      <c r="K441" s="680"/>
      <c r="L441" s="634">
        <f>IF(A431&lt;=$F$3,C441+F441-I441,0)</f>
        <v>0</v>
      </c>
      <c r="M441" s="598">
        <f>IF(A431&lt;=$F$3,D441+G441-J441,0)</f>
        <v>0</v>
      </c>
      <c r="N441" s="598">
        <f>IF(A431&lt;=$F$3,E441+H441-K441,0)</f>
        <v>0</v>
      </c>
      <c r="O441" s="635">
        <f>IF(A431&lt;=$F$3,F441*Q441+G441*R441+H441*S441,0)</f>
        <v>0</v>
      </c>
      <c r="P441" s="636">
        <f>IF(A431&lt;=$F$3,I441*Q441+J441*R441+K441*S441,0)</f>
        <v>0</v>
      </c>
      <c r="Q441" s="637">
        <f t="shared" si="155"/>
        <v>78347.272727272764</v>
      </c>
      <c r="R441" s="638">
        <f t="shared" si="155"/>
        <v>114989.9694545455</v>
      </c>
      <c r="S441" s="639">
        <f t="shared" si="155"/>
        <v>120864.15127272732</v>
      </c>
      <c r="T441" s="637">
        <f>L441*$AH$6*AD$20</f>
        <v>0</v>
      </c>
      <c r="U441" s="640" t="e">
        <f>$AH$6*(1-AE$19)*((1+HLOOKUP($A$431,FC_Premissas!$D$5:$W$16,14,FALSE)^0.0833-1))*L441*12</f>
        <v>#REF!</v>
      </c>
      <c r="V441" s="638">
        <f>M441*$AP$6*AL$20</f>
        <v>0</v>
      </c>
      <c r="W441" s="669" t="e">
        <f>$AP$6*(1-AM$19)*((1+HLOOKUP($A$431,FC_Premissas!$D$5:$W$16,14,FALSE))^0.0833-1)*M441*12</f>
        <v>#REF!</v>
      </c>
      <c r="X441" s="637">
        <f>N441*$AX$6*AT$20</f>
        <v>0</v>
      </c>
      <c r="Y441" s="640" t="e">
        <f>$AX$6*(1-AU$19)*((1+HLOOKUP($A$431,FC_Premissas!$D$5:$W$16,14,FALSE))^0.0833-1)*N441*12</f>
        <v>#REF!</v>
      </c>
      <c r="Z441" s="638">
        <f t="shared" si="156"/>
        <v>0</v>
      </c>
      <c r="AA441" s="669" t="e">
        <f t="shared" si="156"/>
        <v>#REF!</v>
      </c>
      <c r="AB441" s="641"/>
    </row>
    <row r="442" spans="1:28" hidden="1" x14ac:dyDescent="0.2">
      <c r="A442" s="984"/>
      <c r="B442" s="633">
        <v>9</v>
      </c>
      <c r="C442" s="634">
        <f>IF(A431&lt;=$F$3,L416,0)</f>
        <v>0</v>
      </c>
      <c r="D442" s="598">
        <f>IF(A431&lt;=$F$3,M416,0)</f>
        <v>0</v>
      </c>
      <c r="E442" s="598">
        <f>IF(A431&lt;=$F$3,N416,0)</f>
        <v>0</v>
      </c>
      <c r="F442" s="679"/>
      <c r="G442" s="680"/>
      <c r="H442" s="680"/>
      <c r="I442" s="679"/>
      <c r="J442" s="680"/>
      <c r="K442" s="680"/>
      <c r="L442" s="634">
        <f>IF(A431&lt;=$F$3,C442+F442-I442,0)</f>
        <v>0</v>
      </c>
      <c r="M442" s="598">
        <f>IF(A431&lt;=$F$3,D442+G442-J442,0)</f>
        <v>0</v>
      </c>
      <c r="N442" s="598">
        <f>IF(A431&lt;=$F$3,E442+H442-K442,0)</f>
        <v>0</v>
      </c>
      <c r="O442" s="635">
        <f>IF(A431&lt;=$F$3,F442*Q442+G442*R442+H442*S442,0)</f>
        <v>0</v>
      </c>
      <c r="P442" s="636">
        <f>IF(A431&lt;=$F$3,I442*Q442+J442*R442+K442*S442,0)</f>
        <v>0</v>
      </c>
      <c r="Q442" s="637">
        <f t="shared" si="155"/>
        <v>61149.090909090955</v>
      </c>
      <c r="R442" s="638">
        <f t="shared" si="155"/>
        <v>92343.429818181874</v>
      </c>
      <c r="S442" s="639">
        <f t="shared" si="155"/>
        <v>96928.157090909139</v>
      </c>
      <c r="T442" s="637">
        <f>L442*$AH$6*AD$21</f>
        <v>0</v>
      </c>
      <c r="U442" s="640" t="e">
        <f>$AH$6*(1-AE$20)*((1+HLOOKUP($A$431,FC_Premissas!$D$5:$W$16,14,FALSE)^0.0833-1))*L442*12</f>
        <v>#REF!</v>
      </c>
      <c r="V442" s="638">
        <f>M442*$AP$6*AL$21</f>
        <v>0</v>
      </c>
      <c r="W442" s="669" t="e">
        <f>$AP$6*(1-AM$20)*((1+HLOOKUP($A$431,FC_Premissas!$D$5:$W$16,14,FALSE))^0.0833-1)*M442*12</f>
        <v>#REF!</v>
      </c>
      <c r="X442" s="637">
        <f>N442*$AX$6*AT$21</f>
        <v>0</v>
      </c>
      <c r="Y442" s="640" t="e">
        <f>$AX$6*(1-AU$20)*((1+HLOOKUP($A$431,FC_Premissas!$D$5:$W$16,14,FALSE))^0.0833-1)*N442*12</f>
        <v>#REF!</v>
      </c>
      <c r="Z442" s="638">
        <f t="shared" si="156"/>
        <v>0</v>
      </c>
      <c r="AA442" s="669" t="e">
        <f t="shared" si="156"/>
        <v>#REF!</v>
      </c>
      <c r="AB442" s="641"/>
    </row>
    <row r="443" spans="1:28" hidden="1" x14ac:dyDescent="0.2">
      <c r="A443" s="984"/>
      <c r="B443" s="633">
        <v>10</v>
      </c>
      <c r="C443" s="634">
        <f>IF(A431&lt;=$F$3,L417,0)</f>
        <v>0</v>
      </c>
      <c r="D443" s="598">
        <f>IF(A431&lt;=$F$3,M417,0)</f>
        <v>0</v>
      </c>
      <c r="E443" s="598">
        <f>IF(A431&lt;=$F$3,N417,0)</f>
        <v>0</v>
      </c>
      <c r="F443" s="679"/>
      <c r="G443" s="680"/>
      <c r="H443" s="680"/>
      <c r="I443" s="679"/>
      <c r="J443" s="680"/>
      <c r="K443" s="680"/>
      <c r="L443" s="634">
        <f>IF(A431&lt;=$F$3,C443+F443-I443,0)</f>
        <v>0</v>
      </c>
      <c r="M443" s="598">
        <f>IF(A431&lt;=$F$3,D443+G443-J443,0)</f>
        <v>0</v>
      </c>
      <c r="N443" s="598">
        <f>IF(A431&lt;=$F$3,E443+H443-K443,0)</f>
        <v>0</v>
      </c>
      <c r="O443" s="635">
        <f>IF(A431&lt;=$F$3,F443*Q443+G443*R443+H443*S443,0)</f>
        <v>0</v>
      </c>
      <c r="P443" s="636">
        <f>IF(A431&lt;=$F$3,I443*Q443+J443*R443+K443*S443,0)</f>
        <v>0</v>
      </c>
      <c r="Q443" s="637">
        <f t="shared" si="155"/>
        <v>52550.000000000044</v>
      </c>
      <c r="R443" s="638">
        <f t="shared" si="155"/>
        <v>81020.160000000062</v>
      </c>
      <c r="S443" s="639">
        <f t="shared" si="155"/>
        <v>84960.160000000062</v>
      </c>
      <c r="T443" s="637">
        <f>L443*$AH$6*AD$22</f>
        <v>0</v>
      </c>
      <c r="U443" s="640" t="e">
        <f>$AH$6*(1-AE$21)*((1+HLOOKUP($A$431,FC_Premissas!$D$5:$W$16,14,FALSE)^0.0833-1))*L443*12</f>
        <v>#REF!</v>
      </c>
      <c r="V443" s="638">
        <f>M443*$AP$6*AL$22</f>
        <v>0</v>
      </c>
      <c r="W443" s="669" t="e">
        <f>$AP$6*(1-AM$21)*((1+HLOOKUP($A$431,FC_Premissas!$D$5:$W$16,14,FALSE))^0.0833-1)*M443*12</f>
        <v>#REF!</v>
      </c>
      <c r="X443" s="637">
        <f>N443*$AX$6*AT$22</f>
        <v>0</v>
      </c>
      <c r="Y443" s="640" t="e">
        <f>$AX$6*(1-AU$21)*((1+HLOOKUP($A$431,FC_Premissas!$D$5:$W$16,14,FALSE))^0.0833-1)*N443*12</f>
        <v>#REF!</v>
      </c>
      <c r="Z443" s="638">
        <f t="shared" si="156"/>
        <v>0</v>
      </c>
      <c r="AA443" s="669" t="e">
        <f t="shared" si="156"/>
        <v>#REF!</v>
      </c>
      <c r="AB443" s="641"/>
    </row>
    <row r="444" spans="1:28" hidden="1" x14ac:dyDescent="0.2">
      <c r="A444" s="984"/>
      <c r="B444" s="633">
        <v>11</v>
      </c>
      <c r="C444" s="634">
        <f>IF(A431&lt;=$F$3,L418,0)</f>
        <v>0</v>
      </c>
      <c r="D444" s="598">
        <f>IF(A431&lt;=$F$3,M418,0)</f>
        <v>0</v>
      </c>
      <c r="E444" s="598">
        <f>IF(A431&lt;=$F$3,N418,0)</f>
        <v>0</v>
      </c>
      <c r="F444" s="679"/>
      <c r="G444" s="680"/>
      <c r="H444" s="680"/>
      <c r="I444" s="679"/>
      <c r="J444" s="680"/>
      <c r="K444" s="680"/>
      <c r="L444" s="634">
        <f>IF(A431&lt;=$F$3,C444+F444-I444,0)</f>
        <v>0</v>
      </c>
      <c r="M444" s="598">
        <f>IF(A431&lt;=$F$3,D444+G444-J444,0)</f>
        <v>0</v>
      </c>
      <c r="N444" s="598">
        <f>IF(A431&lt;=$F$3,E444+H444-K444,0)</f>
        <v>0</v>
      </c>
      <c r="O444" s="635">
        <f>IF(A431&lt;=$F$3,F444*Q444+G444*R444+H444*S444,0)</f>
        <v>0</v>
      </c>
      <c r="P444" s="636">
        <f>IF(A431&lt;=$F$3,I444*Q444+J444*R444+K444*S444,0)</f>
        <v>0</v>
      </c>
      <c r="Q444" s="637">
        <f t="shared" si="155"/>
        <v>52550.000000000044</v>
      </c>
      <c r="R444" s="638">
        <f t="shared" si="155"/>
        <v>81020.160000000062</v>
      </c>
      <c r="S444" s="639">
        <f t="shared" si="155"/>
        <v>84960.160000000062</v>
      </c>
      <c r="T444" s="637">
        <f>L444*$AH$6*AD$23</f>
        <v>0</v>
      </c>
      <c r="U444" s="640" t="e">
        <f>$AH$6*(1-AE$22)*((1+HLOOKUP($A$431,FC_Premissas!$D$5:$W$16,14,FALSE)^0.0833-1))*L444*12</f>
        <v>#REF!</v>
      </c>
      <c r="V444" s="638">
        <f>M444*$AP$6*AL$23</f>
        <v>0</v>
      </c>
      <c r="W444" s="669" t="e">
        <f>$AP$6*(1-AM$22)*((1+HLOOKUP($A$431,FC_Premissas!$D$5:$W$16,14,FALSE))^0.0833-1)*M444*12</f>
        <v>#REF!</v>
      </c>
      <c r="X444" s="637">
        <f>N444*$AX$6*AT$23</f>
        <v>0</v>
      </c>
      <c r="Y444" s="640" t="e">
        <f>$AX$6*(1-AU$22)*((1+HLOOKUP($A$431,FC_Premissas!$D$5:$W$16,14,FALSE))^0.0833-1)*N444*12</f>
        <v>#REF!</v>
      </c>
      <c r="Z444" s="638">
        <f t="shared" si="156"/>
        <v>0</v>
      </c>
      <c r="AA444" s="669" t="e">
        <f t="shared" si="156"/>
        <v>#REF!</v>
      </c>
      <c r="AB444" s="641"/>
    </row>
    <row r="445" spans="1:28" hidden="1" x14ac:dyDescent="0.2">
      <c r="A445" s="984"/>
      <c r="B445" s="633">
        <v>12</v>
      </c>
      <c r="C445" s="634">
        <f>IF(A431&lt;=$F$3,L419,0)</f>
        <v>0</v>
      </c>
      <c r="D445" s="598">
        <f>IF(A431&lt;=$F$3,M419,0)</f>
        <v>0</v>
      </c>
      <c r="E445" s="598">
        <f>IF(A431&lt;=$F$3,N419,0)</f>
        <v>0</v>
      </c>
      <c r="F445" s="679"/>
      <c r="G445" s="680"/>
      <c r="H445" s="680"/>
      <c r="I445" s="679"/>
      <c r="J445" s="680"/>
      <c r="K445" s="680"/>
      <c r="L445" s="634">
        <f>IF(A431&lt;=$F$3,C445+F445-I445,0)</f>
        <v>0</v>
      </c>
      <c r="M445" s="598">
        <f>IF(A431&lt;=$F$3,D445+G445-J445,0)</f>
        <v>0</v>
      </c>
      <c r="N445" s="598">
        <f>IF(A431&lt;=$F$3,E445+H445-K445,0)</f>
        <v>0</v>
      </c>
      <c r="O445" s="635">
        <f>IF(A431&lt;=$F$3,F445*Q445+G445*R445+H445*S445,0)</f>
        <v>0</v>
      </c>
      <c r="P445" s="636">
        <f>IF(A431&lt;=$F$3,I445*Q445+J445*R445+K445*S445,0)</f>
        <v>0</v>
      </c>
      <c r="Q445" s="637">
        <f t="shared" si="155"/>
        <v>52550.000000000044</v>
      </c>
      <c r="R445" s="638">
        <f t="shared" si="155"/>
        <v>81020.160000000062</v>
      </c>
      <c r="S445" s="639">
        <f t="shared" si="155"/>
        <v>84960.160000000062</v>
      </c>
      <c r="T445" s="637">
        <f>L445*$AH$6*AD$24</f>
        <v>0</v>
      </c>
      <c r="U445" s="640" t="e">
        <f>$AH$6*(1-AE$23)*((1+HLOOKUP($A$431,FC_Premissas!$D$5:$W$16,14,FALSE)^0.0833-1))*L445*12</f>
        <v>#REF!</v>
      </c>
      <c r="V445" s="638">
        <f>M445*$AP$6*AL$24</f>
        <v>0</v>
      </c>
      <c r="W445" s="669" t="e">
        <f>$AP$6*(1-AM$23)*((1+HLOOKUP($A$431,FC_Premissas!$D$5:$W$16,14,FALSE))^0.0833-1)*M445*12</f>
        <v>#REF!</v>
      </c>
      <c r="X445" s="637">
        <f>N445*$AX$6*AT$24</f>
        <v>0</v>
      </c>
      <c r="Y445" s="640" t="e">
        <f>$AX$6*(1-AU$23)*((1+HLOOKUP($A$431,FC_Premissas!$D$5:$W$16,14,FALSE))^0.0833-1)*N445*12</f>
        <v>#REF!</v>
      </c>
      <c r="Z445" s="638">
        <f t="shared" si="156"/>
        <v>0</v>
      </c>
      <c r="AA445" s="669" t="e">
        <f t="shared" si="156"/>
        <v>#REF!</v>
      </c>
      <c r="AB445" s="641"/>
    </row>
    <row r="446" spans="1:28" ht="11.25" hidden="1" customHeight="1" x14ac:dyDescent="0.2">
      <c r="A446" s="984"/>
      <c r="B446" s="633">
        <v>13</v>
      </c>
      <c r="C446" s="634">
        <f>IF(A431&lt;=$F$3,L420,0)</f>
        <v>0</v>
      </c>
      <c r="D446" s="598">
        <f>IF(A431&lt;=$F$3,M420,0)</f>
        <v>0</v>
      </c>
      <c r="E446" s="650">
        <f>IF(A431&lt;=$F$3,N420,0)</f>
        <v>0</v>
      </c>
      <c r="F446" s="634"/>
      <c r="G446" s="598"/>
      <c r="H446" s="598"/>
      <c r="I446" s="634"/>
      <c r="J446" s="598"/>
      <c r="K446" s="598"/>
      <c r="L446" s="634">
        <f>IF(A431&lt;=$F$3,C446+F446-I446,0)</f>
        <v>0</v>
      </c>
      <c r="M446" s="598">
        <f>IF(A431&lt;=$F$3,D446+G446-J446,0)</f>
        <v>0</v>
      </c>
      <c r="N446" s="598">
        <f>IF(A431&lt;=$F$3,E446+H446-K446,0)</f>
        <v>0</v>
      </c>
      <c r="O446" s="635">
        <f>IF(A431&lt;=$F$3,F446*Q446+G446*R446+H446*S446,0)</f>
        <v>0</v>
      </c>
      <c r="P446" s="636">
        <f>IF(A431&lt;=$F$3,I446*Q446+J446*R446+K446*S446,0)</f>
        <v>0</v>
      </c>
      <c r="Q446" s="637">
        <f t="shared" si="155"/>
        <v>52550.000000000044</v>
      </c>
      <c r="R446" s="638">
        <f t="shared" si="155"/>
        <v>81020.160000000062</v>
      </c>
      <c r="S446" s="639">
        <f t="shared" si="155"/>
        <v>84960.160000000062</v>
      </c>
      <c r="T446" s="637">
        <f>L446*$AH$6*AD$25</f>
        <v>0</v>
      </c>
      <c r="U446" s="640" t="e">
        <f>$AH$6*(1-AE$24)*((1+HLOOKUP($A$431,FC_Premissas!$D$5:$W$16,14,FALSE)^0.0833-1))*L446*12</f>
        <v>#REF!</v>
      </c>
      <c r="V446" s="638">
        <f>M446*$AP$6*AL$25</f>
        <v>0</v>
      </c>
      <c r="W446" s="669" t="e">
        <f>$AP$6*(1-AM$24)*((1+HLOOKUP($A$431,FC_Premissas!$D$5:$W$16,14,FALSE))^0.0833-1)*M446*12</f>
        <v>#REF!</v>
      </c>
      <c r="X446" s="637">
        <f>N446*$AX$6*AT$25</f>
        <v>0</v>
      </c>
      <c r="Y446" s="640" t="e">
        <f>$AX$6*(1-AU$24)*((1+HLOOKUP($A$431,FC_Premissas!$D$5:$W$16,14,FALSE))^0.0833-1)*N446*12</f>
        <v>#REF!</v>
      </c>
      <c r="Z446" s="638">
        <f t="shared" si="156"/>
        <v>0</v>
      </c>
      <c r="AA446" s="669" t="e">
        <f t="shared" si="156"/>
        <v>#REF!</v>
      </c>
      <c r="AB446" s="641"/>
    </row>
    <row r="447" spans="1:28" ht="11.25" hidden="1" customHeight="1" x14ac:dyDescent="0.2">
      <c r="A447" s="984"/>
      <c r="B447" s="633">
        <v>14</v>
      </c>
      <c r="C447" s="634">
        <f>IF(A431&lt;=$F$3,L421,0)</f>
        <v>0</v>
      </c>
      <c r="D447" s="598">
        <f>IF(A431&lt;=$F$3,M421,0)</f>
        <v>0</v>
      </c>
      <c r="E447" s="650">
        <f>IF(A431&lt;=$F$3,N421,0)</f>
        <v>0</v>
      </c>
      <c r="F447" s="634"/>
      <c r="G447" s="598"/>
      <c r="H447" s="598"/>
      <c r="I447" s="634"/>
      <c r="J447" s="598"/>
      <c r="K447" s="598"/>
      <c r="L447" s="634">
        <f>IF(A431&lt;=$F$3,C447+F447-I447,0)</f>
        <v>0</v>
      </c>
      <c r="M447" s="598">
        <f>IF(A431&lt;=$F$3,D447+G447-J447,0)</f>
        <v>0</v>
      </c>
      <c r="N447" s="598">
        <f>IF(A431&lt;=$F$3,E447+H447-K447,0)</f>
        <v>0</v>
      </c>
      <c r="O447" s="635">
        <f>IF(A431&lt;=$F$3,F447*Q447+G447*R447+H447*S447,0)</f>
        <v>0</v>
      </c>
      <c r="P447" s="636">
        <f>IF(A431&lt;=$F$3,I447*Q447+J447*R447+K447*S447,0)</f>
        <v>0</v>
      </c>
      <c r="Q447" s="637">
        <f t="shared" si="155"/>
        <v>52550.000000000044</v>
      </c>
      <c r="R447" s="638">
        <f t="shared" si="155"/>
        <v>81020.160000000062</v>
      </c>
      <c r="S447" s="639">
        <f t="shared" si="155"/>
        <v>84960.160000000062</v>
      </c>
      <c r="T447" s="637">
        <f>L447*$AH$6*AD$26</f>
        <v>0</v>
      </c>
      <c r="U447" s="640" t="e">
        <f>$AH$6*(1-AE$25)*((1+HLOOKUP($A$431,FC_Premissas!$D$5:$W$16,14,FALSE)^0.0833-1))*L447*12</f>
        <v>#REF!</v>
      </c>
      <c r="V447" s="638">
        <f>M447*$AP$6*AL$26</f>
        <v>0</v>
      </c>
      <c r="W447" s="669" t="e">
        <f>$AP$6*(1-AM$25)*((1+HLOOKUP($A$431,FC_Premissas!$D$5:$W$16,14,FALSE))^0.0833-1)*M447*12</f>
        <v>#REF!</v>
      </c>
      <c r="X447" s="637">
        <f>N447*$AX$6*AT$26</f>
        <v>0</v>
      </c>
      <c r="Y447" s="640" t="e">
        <f>$AX$6*(1-AU$25)*((1+HLOOKUP($A$431,FC_Premissas!$D$5:$W$16,14,FALSE))^0.0833-1)*N447*12</f>
        <v>#REF!</v>
      </c>
      <c r="Z447" s="638">
        <f t="shared" si="156"/>
        <v>0</v>
      </c>
      <c r="AA447" s="669" t="e">
        <f t="shared" si="156"/>
        <v>#REF!</v>
      </c>
      <c r="AB447" s="641"/>
    </row>
    <row r="448" spans="1:28" ht="11.25" hidden="1" customHeight="1" x14ac:dyDescent="0.2">
      <c r="A448" s="984"/>
      <c r="B448" s="633">
        <v>15</v>
      </c>
      <c r="C448" s="634">
        <f>IF(A431&lt;=$F$3,L422,0)</f>
        <v>0</v>
      </c>
      <c r="D448" s="598">
        <f>IF(A431&lt;=$F$3,M422,0)</f>
        <v>0</v>
      </c>
      <c r="E448" s="650">
        <f>IF(A431&lt;=$F$3,N422,0)</f>
        <v>0</v>
      </c>
      <c r="F448" s="634"/>
      <c r="G448" s="598"/>
      <c r="H448" s="598"/>
      <c r="I448" s="634"/>
      <c r="J448" s="598"/>
      <c r="K448" s="598"/>
      <c r="L448" s="634">
        <f>IF(A431&lt;=$F$3,C448+F448-I448,0)</f>
        <v>0</v>
      </c>
      <c r="M448" s="598">
        <f>IF(A431&lt;=$F$3,D448+G448-J448,0)</f>
        <v>0</v>
      </c>
      <c r="N448" s="598">
        <f>IF(A431&lt;=$F$3,E448+H448-K448,0)</f>
        <v>0</v>
      </c>
      <c r="O448" s="635">
        <f>IF(A431&lt;=$F$3,F448*Q448+G448*R448+H448*S448,0)</f>
        <v>0</v>
      </c>
      <c r="P448" s="636">
        <f>IF(A431&lt;=$F$3,I448*Q448+J448*R448+K448*S448,0)</f>
        <v>0</v>
      </c>
      <c r="Q448" s="637">
        <f t="shared" si="155"/>
        <v>52550.000000000044</v>
      </c>
      <c r="R448" s="638">
        <f t="shared" si="155"/>
        <v>81020.160000000062</v>
      </c>
      <c r="S448" s="639">
        <f t="shared" si="155"/>
        <v>84960.160000000062</v>
      </c>
      <c r="T448" s="637">
        <f t="shared" ref="T448:T453" si="157">L448*$AH$6*AD$27</f>
        <v>0</v>
      </c>
      <c r="U448" s="640" t="e">
        <f>$AH$6*(1-AE$26)*((1+HLOOKUP($A$431,FC_Premissas!$D$5:$W$16,14,FALSE)^0.0833-1))*L448*12</f>
        <v>#REF!</v>
      </c>
      <c r="V448" s="638">
        <f t="shared" ref="V448:V453" si="158">M448*$AP$6*AL$27</f>
        <v>0</v>
      </c>
      <c r="W448" s="669" t="e">
        <f>$AP$6*(1-AM$26)*((1+HLOOKUP($A$431,FC_Premissas!$D$5:$W$16,14,FALSE))^0.0833-1)*M448*12</f>
        <v>#REF!</v>
      </c>
      <c r="X448" s="637">
        <f t="shared" ref="X448:X453" si="159">N448*$AX$6*AT$27</f>
        <v>0</v>
      </c>
      <c r="Y448" s="640" t="e">
        <f>$AX$6*(1-AU$26)*((1+HLOOKUP($A$431,FC_Premissas!$D$5:$W$16,14,FALSE))^0.0833-1)*N448*12</f>
        <v>#REF!</v>
      </c>
      <c r="Z448" s="638">
        <f t="shared" si="156"/>
        <v>0</v>
      </c>
      <c r="AA448" s="640" t="e">
        <f t="shared" si="156"/>
        <v>#REF!</v>
      </c>
      <c r="AB448" s="641"/>
    </row>
    <row r="449" spans="1:28" hidden="1" x14ac:dyDescent="0.2">
      <c r="A449" s="984"/>
      <c r="B449" s="633">
        <v>16</v>
      </c>
      <c r="C449" s="634">
        <f>IF(A431&lt;=$F$3,L423,0)</f>
        <v>0</v>
      </c>
      <c r="D449" s="598">
        <f>IF(A431&lt;=$F$3,M423,0)</f>
        <v>0</v>
      </c>
      <c r="E449" s="650">
        <f>IF(A431&lt;=$F$3,N423,0)</f>
        <v>0</v>
      </c>
      <c r="F449" s="634"/>
      <c r="G449" s="598"/>
      <c r="H449" s="598"/>
      <c r="I449" s="634"/>
      <c r="J449" s="598"/>
      <c r="K449" s="598"/>
      <c r="L449" s="634">
        <f>IF(A431&lt;=$F$3,C449+F449-I449,0)</f>
        <v>0</v>
      </c>
      <c r="M449" s="598">
        <f>IF(A431&lt;=$F$3,D449+G449-J449,0)</f>
        <v>0</v>
      </c>
      <c r="N449" s="598">
        <f>IF(A431&lt;=$F$3,E449+H449-K449,0)</f>
        <v>0</v>
      </c>
      <c r="O449" s="635">
        <f>IF(A431&lt;=$F$3,F449*Q449+G449*R449+H449*S449,0)</f>
        <v>0</v>
      </c>
      <c r="P449" s="636">
        <f>IF(A431&lt;=$F$3,I449*Q449+J449*R449+K449*S449,0)</f>
        <v>0</v>
      </c>
      <c r="Q449" s="637">
        <f t="shared" ref="Q449:S453" si="160">Q424</f>
        <v>52550.000000000044</v>
      </c>
      <c r="R449" s="638">
        <f t="shared" si="160"/>
        <v>81020.160000000062</v>
      </c>
      <c r="S449" s="639">
        <f t="shared" si="160"/>
        <v>84960.160000000062</v>
      </c>
      <c r="T449" s="637">
        <f t="shared" si="157"/>
        <v>0</v>
      </c>
      <c r="U449" s="640" t="e">
        <f>$AH$6*(1-AE$27)*((1+HLOOKUP($A$431,FC_Premissas!$D$5:$W$16,14,FALSE)^0.0833-1))*L449*12</f>
        <v>#REF!</v>
      </c>
      <c r="V449" s="638">
        <f t="shared" si="158"/>
        <v>0</v>
      </c>
      <c r="W449" s="669" t="e">
        <f>$AP$6*(1-AM$27)*((1+HLOOKUP($A$431,FC_Premissas!$D$5:$W$16,14,FALSE))^0.0833-1)*M449*12</f>
        <v>#REF!</v>
      </c>
      <c r="X449" s="637">
        <f t="shared" si="159"/>
        <v>0</v>
      </c>
      <c r="Y449" s="640" t="e">
        <f>$AX$6*(1-AU$27)*((1+HLOOKUP($A$431,FC_Premissas!$D$5:$W$16,14,FALSE))^0.0833-1)*N449*12</f>
        <v>#REF!</v>
      </c>
      <c r="Z449" s="638">
        <f t="shared" si="156"/>
        <v>0</v>
      </c>
      <c r="AA449" s="640" t="e">
        <f t="shared" si="156"/>
        <v>#REF!</v>
      </c>
      <c r="AB449" s="641"/>
    </row>
    <row r="450" spans="1:28" hidden="1" x14ac:dyDescent="0.2">
      <c r="A450" s="984"/>
      <c r="B450" s="633">
        <v>17</v>
      </c>
      <c r="C450" s="634">
        <f>IF(A431&lt;=$F$3,L424,0)</f>
        <v>0</v>
      </c>
      <c r="D450" s="598">
        <f>IF(A431&lt;=$F$3,M424,0)</f>
        <v>0</v>
      </c>
      <c r="E450" s="650">
        <f>IF(A431&lt;=$F$3,N424,0)</f>
        <v>0</v>
      </c>
      <c r="F450" s="634"/>
      <c r="G450" s="598"/>
      <c r="H450" s="598"/>
      <c r="I450" s="634"/>
      <c r="J450" s="598"/>
      <c r="K450" s="598"/>
      <c r="L450" s="634">
        <f>IF(A431&lt;=$F$3,C450+F450-I450,0)</f>
        <v>0</v>
      </c>
      <c r="M450" s="598">
        <f>IF(A431&lt;=$F$3,D450+G450-J450,0)</f>
        <v>0</v>
      </c>
      <c r="N450" s="598">
        <f>IF(A431&lt;=$F$3,E450+H450-K450,0)</f>
        <v>0</v>
      </c>
      <c r="O450" s="635">
        <f>IF(A431&lt;=$F$3,F450*Q450+G450*R450+H450*S450,0)</f>
        <v>0</v>
      </c>
      <c r="P450" s="636">
        <f>IF(A431&lt;=$F$3,I450*Q450+J450*R450+K450*S450,0)</f>
        <v>0</v>
      </c>
      <c r="Q450" s="637">
        <f t="shared" si="160"/>
        <v>52550.000000000044</v>
      </c>
      <c r="R450" s="638">
        <f t="shared" si="160"/>
        <v>81020.160000000062</v>
      </c>
      <c r="S450" s="639">
        <f t="shared" si="160"/>
        <v>84960.160000000062</v>
      </c>
      <c r="T450" s="637">
        <f t="shared" si="157"/>
        <v>0</v>
      </c>
      <c r="U450" s="640" t="e">
        <f>$AH$6*(1-AE$28)*((1+HLOOKUP($A$431,FC_Premissas!$D$5:$W$16,14,FALSE)^0.0833-1))*L450*12</f>
        <v>#REF!</v>
      </c>
      <c r="V450" s="638">
        <f t="shared" si="158"/>
        <v>0</v>
      </c>
      <c r="W450" s="669" t="e">
        <f>$AP$6*(1-AM$28)*((1+HLOOKUP($A$431,FC_Premissas!$D$5:$W$16,14,FALSE))^0.0833-1)*M450*12</f>
        <v>#REF!</v>
      </c>
      <c r="X450" s="637">
        <f t="shared" si="159"/>
        <v>0</v>
      </c>
      <c r="Y450" s="640" t="e">
        <f>$AX$6*(1-AU$28)*((1+HLOOKUP($A$431,FC_Premissas!$D$5:$W$16,14,FALSE))^0.0833-1)*N450*12</f>
        <v>#REF!</v>
      </c>
      <c r="Z450" s="638">
        <f t="shared" si="156"/>
        <v>0</v>
      </c>
      <c r="AA450" s="640" t="e">
        <f t="shared" si="156"/>
        <v>#REF!</v>
      </c>
      <c r="AB450" s="641"/>
    </row>
    <row r="451" spans="1:28" hidden="1" x14ac:dyDescent="0.2">
      <c r="A451" s="984"/>
      <c r="B451" s="633">
        <v>18</v>
      </c>
      <c r="C451" s="634">
        <f>IF(A431&lt;=$F$3,L425,0)</f>
        <v>0</v>
      </c>
      <c r="D451" s="598">
        <f>IF(A431&lt;=$F$3,M425,0)</f>
        <v>0</v>
      </c>
      <c r="E451" s="650">
        <f>IF(A431&lt;=$F$3,N425,0)</f>
        <v>0</v>
      </c>
      <c r="F451" s="634"/>
      <c r="G451" s="598"/>
      <c r="H451" s="598"/>
      <c r="I451" s="634"/>
      <c r="J451" s="598"/>
      <c r="K451" s="598"/>
      <c r="L451" s="634">
        <f>IF(A431&lt;=$F$3,C451+F451-I451,0)</f>
        <v>0</v>
      </c>
      <c r="M451" s="598">
        <f>IF(A431&lt;=$F$3,D451+G451-J451,0)</f>
        <v>0</v>
      </c>
      <c r="N451" s="598">
        <f>IF(A431&lt;=$F$3,E451+H451-K451,0)</f>
        <v>0</v>
      </c>
      <c r="O451" s="635">
        <f>IF(A431&lt;=$F$3,F451*Q451+G451*R451+H451*S451,0)</f>
        <v>0</v>
      </c>
      <c r="P451" s="636">
        <f>IF(A431&lt;=$F$3,I451*Q451+J451*R451+K451*S451,0)</f>
        <v>0</v>
      </c>
      <c r="Q451" s="637">
        <f t="shared" si="160"/>
        <v>52550.000000000044</v>
      </c>
      <c r="R451" s="638">
        <f t="shared" si="160"/>
        <v>81020.160000000062</v>
      </c>
      <c r="S451" s="639">
        <f t="shared" si="160"/>
        <v>84960.160000000062</v>
      </c>
      <c r="T451" s="637">
        <f t="shared" si="157"/>
        <v>0</v>
      </c>
      <c r="U451" s="640" t="e">
        <f>$AH$6*(1-AE$29)*((1+HLOOKUP($A$431,FC_Premissas!$D$5:$W$16,14,FALSE)^0.0833-1))*L451*12</f>
        <v>#REF!</v>
      </c>
      <c r="V451" s="638">
        <f t="shared" si="158"/>
        <v>0</v>
      </c>
      <c r="W451" s="669" t="e">
        <f>$AP$6*(1-AM$29)*((1+HLOOKUP($A$431,FC_Premissas!$D$5:$W$16,14,FALSE))^0.0833-1)*M451*12</f>
        <v>#REF!</v>
      </c>
      <c r="X451" s="637">
        <f t="shared" si="159"/>
        <v>0</v>
      </c>
      <c r="Y451" s="640" t="e">
        <f>$AX$6*(1-AU$29)*((1+HLOOKUP($A$431,FC_Premissas!$D$5:$W$16,14,FALSE))^0.0833-1)*N451*12</f>
        <v>#REF!</v>
      </c>
      <c r="Z451" s="638">
        <f t="shared" si="156"/>
        <v>0</v>
      </c>
      <c r="AA451" s="640" t="e">
        <f t="shared" si="156"/>
        <v>#REF!</v>
      </c>
      <c r="AB451" s="641"/>
    </row>
    <row r="452" spans="1:28" hidden="1" x14ac:dyDescent="0.2">
      <c r="A452" s="984"/>
      <c r="B452" s="633">
        <v>19</v>
      </c>
      <c r="C452" s="634">
        <f>IF(A431&lt;=$F$3,L426,0)</f>
        <v>0</v>
      </c>
      <c r="D452" s="598">
        <f>IF(A431&lt;=$F$3,M426,0)</f>
        <v>0</v>
      </c>
      <c r="E452" s="650">
        <f>IF(A431&lt;=$F$3,N426,0)</f>
        <v>0</v>
      </c>
      <c r="F452" s="634"/>
      <c r="G452" s="598"/>
      <c r="H452" s="598"/>
      <c r="I452" s="634"/>
      <c r="J452" s="598"/>
      <c r="K452" s="598"/>
      <c r="L452" s="634">
        <f>IF(A431&lt;=$F$3,C452+F452-I452,0)</f>
        <v>0</v>
      </c>
      <c r="M452" s="598">
        <f>IF(A431&lt;=$F$3,D452+G452-J452,0)</f>
        <v>0</v>
      </c>
      <c r="N452" s="598">
        <f>IF(A431&lt;=$F$3,E452+H452-K452,0)</f>
        <v>0</v>
      </c>
      <c r="O452" s="635">
        <f>IF(A431&lt;=$F$3,F452*Q452+G452*R452+H452*S452,0)</f>
        <v>0</v>
      </c>
      <c r="P452" s="636">
        <f>IF(A431&lt;=$F$3,I452*Q452+J452*R452+K452*S452,0)</f>
        <v>0</v>
      </c>
      <c r="Q452" s="637">
        <f t="shared" si="160"/>
        <v>52550.000000000044</v>
      </c>
      <c r="R452" s="638">
        <f t="shared" si="160"/>
        <v>81020.160000000062</v>
      </c>
      <c r="S452" s="639">
        <f t="shared" si="160"/>
        <v>84960.160000000062</v>
      </c>
      <c r="T452" s="637">
        <f t="shared" si="157"/>
        <v>0</v>
      </c>
      <c r="U452" s="640" t="e">
        <f>$AH$6*(1-AE$30)*((1+HLOOKUP($A$431,FC_Premissas!$D$5:$W$16,14,FALSE)^0.0833-1))*L452*12</f>
        <v>#REF!</v>
      </c>
      <c r="V452" s="638">
        <f t="shared" si="158"/>
        <v>0</v>
      </c>
      <c r="W452" s="669" t="e">
        <f>$AP$6*(1-AM$30)*((1+HLOOKUP($A$431,FC_Premissas!$D$5:$W$16,14,FALSE))^0.0833-1)*M452*12</f>
        <v>#REF!</v>
      </c>
      <c r="X452" s="637">
        <f t="shared" si="159"/>
        <v>0</v>
      </c>
      <c r="Y452" s="640" t="e">
        <f>$AX$6*(1-AU$30)*((1+HLOOKUP($A$431,FC_Premissas!$D$5:$W$16,14,FALSE))^0.0833-1)*N452*12</f>
        <v>#REF!</v>
      </c>
      <c r="Z452" s="638">
        <f t="shared" si="156"/>
        <v>0</v>
      </c>
      <c r="AA452" s="640" t="e">
        <f t="shared" si="156"/>
        <v>#REF!</v>
      </c>
      <c r="AB452" s="641"/>
    </row>
    <row r="453" spans="1:28" hidden="1" x14ac:dyDescent="0.2">
      <c r="A453" s="984"/>
      <c r="B453" s="633">
        <v>20</v>
      </c>
      <c r="C453" s="616">
        <f>IF(A431&lt;=$F$3,L427,0)</f>
        <v>0</v>
      </c>
      <c r="D453" s="617">
        <f>IF(A431&lt;=$F$3,M427,0)</f>
        <v>0</v>
      </c>
      <c r="E453" s="650">
        <f>IF(A431&lt;=$F$3,N427,0)</f>
        <v>0</v>
      </c>
      <c r="F453" s="616"/>
      <c r="G453" s="617"/>
      <c r="H453" s="598"/>
      <c r="I453" s="616"/>
      <c r="J453" s="617"/>
      <c r="K453" s="598"/>
      <c r="L453" s="616">
        <f>IF(A431&lt;=$F$3,C453+F453-I453,0)</f>
        <v>0</v>
      </c>
      <c r="M453" s="617">
        <f>IF(A431&lt;=$F$3,D453+G453-J453,0)</f>
        <v>0</v>
      </c>
      <c r="N453" s="598">
        <f>IF(A431&lt;=$F$3,E453+H453-K453,0)</f>
        <v>0</v>
      </c>
      <c r="O453" s="635">
        <f>IF(A431&lt;=$F$3,F453*Q453+G453*R453+H453*S453,0)</f>
        <v>0</v>
      </c>
      <c r="P453" s="636">
        <f>IF(A431&lt;=$F$3,I453*Q453+J453*R453+K453*S453,0)</f>
        <v>0</v>
      </c>
      <c r="Q453" s="651">
        <f t="shared" si="160"/>
        <v>52550.000000000044</v>
      </c>
      <c r="R453" s="652">
        <f t="shared" si="160"/>
        <v>81020.160000000062</v>
      </c>
      <c r="S453" s="653">
        <f t="shared" si="160"/>
        <v>84960.160000000062</v>
      </c>
      <c r="T453" s="651">
        <f t="shared" si="157"/>
        <v>0</v>
      </c>
      <c r="U453" s="654" t="e">
        <f>$AH$6*(1-AE$31)*((1+HLOOKUP($A$431,FC_Premissas!$D$5:$W$16,14,FALSE)^0.0833-1))*L453*12</f>
        <v>#REF!</v>
      </c>
      <c r="V453" s="652">
        <f t="shared" si="158"/>
        <v>0</v>
      </c>
      <c r="W453" s="678" t="e">
        <f>$AP$6*(1-AM$31)*((1+HLOOKUP($A$431,FC_Premissas!$D$5:$W$16,14,FALSE))^0.0833-1)*M453*12</f>
        <v>#REF!</v>
      </c>
      <c r="X453" s="651">
        <f t="shared" si="159"/>
        <v>0</v>
      </c>
      <c r="Y453" s="654" t="e">
        <f>$AX$6*(1-AU$31)*((1+HLOOKUP($A$431,FC_Premissas!$D$5:$W$16,14,FALSE))^0.0833-1)*N453*12</f>
        <v>#REF!</v>
      </c>
      <c r="Z453" s="652">
        <f t="shared" si="156"/>
        <v>0</v>
      </c>
      <c r="AA453" s="654" t="e">
        <f t="shared" si="156"/>
        <v>#REF!</v>
      </c>
      <c r="AB453" s="641"/>
    </row>
    <row r="454" spans="1:28" hidden="1" x14ac:dyDescent="0.2">
      <c r="A454" s="984"/>
      <c r="B454" s="655" t="s">
        <v>1228</v>
      </c>
      <c r="C454" s="656">
        <f t="shared" ref="C454:P454" si="161">SUM(C433:C453)</f>
        <v>0</v>
      </c>
      <c r="D454" s="657">
        <f t="shared" si="161"/>
        <v>0</v>
      </c>
      <c r="E454" s="658">
        <f t="shared" si="161"/>
        <v>0</v>
      </c>
      <c r="F454" s="656">
        <f t="shared" si="161"/>
        <v>0</v>
      </c>
      <c r="G454" s="657">
        <f t="shared" si="161"/>
        <v>0</v>
      </c>
      <c r="H454" s="658">
        <f t="shared" si="161"/>
        <v>0</v>
      </c>
      <c r="I454" s="656">
        <f t="shared" si="161"/>
        <v>0</v>
      </c>
      <c r="J454" s="657">
        <f t="shared" si="161"/>
        <v>0</v>
      </c>
      <c r="K454" s="658">
        <f t="shared" si="161"/>
        <v>0</v>
      </c>
      <c r="L454" s="656">
        <f t="shared" si="161"/>
        <v>0</v>
      </c>
      <c r="M454" s="657">
        <f t="shared" si="161"/>
        <v>0</v>
      </c>
      <c r="N454" s="657">
        <f t="shared" si="161"/>
        <v>0</v>
      </c>
      <c r="O454" s="659">
        <f t="shared" si="161"/>
        <v>0</v>
      </c>
      <c r="P454" s="660">
        <f t="shared" si="161"/>
        <v>0</v>
      </c>
      <c r="Q454" s="638"/>
      <c r="R454" s="638"/>
      <c r="S454" s="638"/>
      <c r="T454" s="661">
        <f t="shared" ref="T454:AA454" si="162">SUM(T433:T453)</f>
        <v>0</v>
      </c>
      <c r="U454" s="662" t="e">
        <f t="shared" si="162"/>
        <v>#REF!</v>
      </c>
      <c r="V454" s="663">
        <f t="shared" si="162"/>
        <v>0</v>
      </c>
      <c r="W454" s="662" t="e">
        <f t="shared" si="162"/>
        <v>#REF!</v>
      </c>
      <c r="X454" s="663">
        <f t="shared" si="162"/>
        <v>0</v>
      </c>
      <c r="Y454" s="662" t="e">
        <f t="shared" si="162"/>
        <v>#REF!</v>
      </c>
      <c r="Z454" s="663">
        <f t="shared" si="162"/>
        <v>0</v>
      </c>
      <c r="AA454" s="664" t="e">
        <f t="shared" si="162"/>
        <v>#REF!</v>
      </c>
      <c r="AB454" s="641"/>
    </row>
    <row r="455" spans="1:28" hidden="1" x14ac:dyDescent="0.2">
      <c r="A455" s="985"/>
      <c r="B455" s="977" t="s">
        <v>1229</v>
      </c>
      <c r="C455" s="977"/>
      <c r="D455" s="977"/>
      <c r="E455" s="666" t="e">
        <f>(L455*L454+M455*M454+N455*N454)/(L454+M454+N454)</f>
        <v>#DIV/0!</v>
      </c>
      <c r="F455" s="665" t="s">
        <v>140</v>
      </c>
      <c r="G455" s="665"/>
      <c r="H455" s="665"/>
      <c r="I455" s="665"/>
      <c r="J455" s="665"/>
      <c r="K455" s="665"/>
      <c r="L455" s="887">
        <f>IF(L454=0,0,(SUMPRODUCT(L433:L453,$B433:$B453)/L454))</f>
        <v>0</v>
      </c>
      <c r="M455" s="887">
        <f>IF(M454=0,0,(SUMPRODUCT(M433:M453,$B433:$B453)/M454))</f>
        <v>0</v>
      </c>
      <c r="N455" s="887">
        <f>IF(N454=0,0,ROUND(SUMPRODUCT(N433:N453,$B433:$B453)/N454,0))</f>
        <v>0</v>
      </c>
      <c r="O455" s="667"/>
      <c r="P455" s="668"/>
      <c r="Q455" s="638"/>
      <c r="R455" s="638"/>
      <c r="S455" s="638"/>
      <c r="T455" s="638"/>
      <c r="U455" s="669"/>
      <c r="V455" s="638"/>
      <c r="W455" s="669"/>
      <c r="X455" s="638"/>
      <c r="Y455" s="669"/>
      <c r="Z455" s="638"/>
      <c r="AA455" s="669"/>
    </row>
    <row r="456" spans="1:28" ht="12.75" hidden="1" customHeight="1" x14ac:dyDescent="0.2">
      <c r="A456" s="983">
        <f>A431+1</f>
        <v>19</v>
      </c>
      <c r="B456" s="986" t="s">
        <v>1077</v>
      </c>
      <c r="C456" s="988" t="s">
        <v>1202</v>
      </c>
      <c r="D456" s="989"/>
      <c r="E456" s="990"/>
      <c r="F456" s="991" t="s">
        <v>1203</v>
      </c>
      <c r="G456" s="992"/>
      <c r="H456" s="993"/>
      <c r="I456" s="991" t="s">
        <v>1204</v>
      </c>
      <c r="J456" s="992"/>
      <c r="K456" s="993"/>
      <c r="L456" s="991" t="s">
        <v>1205</v>
      </c>
      <c r="M456" s="992"/>
      <c r="N456" s="992"/>
      <c r="O456" s="978" t="s">
        <v>1206</v>
      </c>
      <c r="P456" s="979"/>
      <c r="Q456" s="980" t="s">
        <v>1207</v>
      </c>
      <c r="R456" s="981"/>
      <c r="S456" s="982"/>
      <c r="T456" s="607" t="s">
        <v>1208</v>
      </c>
      <c r="U456" s="609" t="s">
        <v>1209</v>
      </c>
      <c r="V456" s="608" t="s">
        <v>1210</v>
      </c>
      <c r="W456" s="610" t="s">
        <v>1211</v>
      </c>
      <c r="X456" s="607" t="s">
        <v>1210</v>
      </c>
      <c r="Y456" s="609" t="s">
        <v>1211</v>
      </c>
      <c r="Z456" s="607" t="s">
        <v>1210</v>
      </c>
      <c r="AA456" s="609" t="s">
        <v>1211</v>
      </c>
    </row>
    <row r="457" spans="1:28" hidden="1" x14ac:dyDescent="0.2">
      <c r="A457" s="984"/>
      <c r="B457" s="987"/>
      <c r="C457" s="616" t="str">
        <f>$C$7</f>
        <v>Mini</v>
      </c>
      <c r="D457" s="617" t="str">
        <f>$D$7</f>
        <v>Midi</v>
      </c>
      <c r="E457" s="617" t="str">
        <f>$E$7</f>
        <v>Básico</v>
      </c>
      <c r="F457" s="616" t="str">
        <f>$C$7</f>
        <v>Mini</v>
      </c>
      <c r="G457" s="617" t="str">
        <f>$D$7</f>
        <v>Midi</v>
      </c>
      <c r="H457" s="617" t="str">
        <f>$E$7</f>
        <v>Básico</v>
      </c>
      <c r="I457" s="616" t="str">
        <f>$C$7</f>
        <v>Mini</v>
      </c>
      <c r="J457" s="617" t="str">
        <f>$D$7</f>
        <v>Midi</v>
      </c>
      <c r="K457" s="617" t="str">
        <f>$E$7</f>
        <v>Básico</v>
      </c>
      <c r="L457" s="616" t="str">
        <f>$C$7</f>
        <v>Mini</v>
      </c>
      <c r="M457" s="617" t="str">
        <f>$D$7</f>
        <v>Midi</v>
      </c>
      <c r="N457" s="617" t="str">
        <f>$E$7</f>
        <v>Básico</v>
      </c>
      <c r="O457" s="667" t="s">
        <v>1203</v>
      </c>
      <c r="P457" s="668" t="s">
        <v>1204</v>
      </c>
      <c r="Q457" s="620" t="str">
        <f>C457</f>
        <v>Mini</v>
      </c>
      <c r="R457" s="621" t="str">
        <f>D457</f>
        <v>Midi</v>
      </c>
      <c r="S457" s="622" t="str">
        <f>E457</f>
        <v>Básico</v>
      </c>
      <c r="T457" s="623" t="str">
        <f>C457</f>
        <v>Mini</v>
      </c>
      <c r="U457" s="624" t="str">
        <f>C457</f>
        <v>Mini</v>
      </c>
      <c r="V457" s="625" t="str">
        <f>D457</f>
        <v>Midi</v>
      </c>
      <c r="W457" s="626" t="str">
        <f>D457</f>
        <v>Midi</v>
      </c>
      <c r="X457" s="623" t="str">
        <f>E457</f>
        <v>Básico</v>
      </c>
      <c r="Y457" s="624" t="str">
        <f>E457</f>
        <v>Básico</v>
      </c>
      <c r="Z457" s="627" t="s">
        <v>1218</v>
      </c>
      <c r="AA457" s="628" t="s">
        <v>1218</v>
      </c>
    </row>
    <row r="458" spans="1:28" hidden="1" x14ac:dyDescent="0.2">
      <c r="A458" s="984"/>
      <c r="B458" s="633">
        <v>0</v>
      </c>
      <c r="C458" s="634">
        <v>0</v>
      </c>
      <c r="F458" s="679"/>
      <c r="G458" s="680"/>
      <c r="H458" s="680"/>
      <c r="I458" s="679"/>
      <c r="J458" s="680"/>
      <c r="K458" s="680"/>
      <c r="L458" s="634">
        <f>IF(A456&lt;=$F$3,C458+F458-I458,0)</f>
        <v>0</v>
      </c>
      <c r="M458" s="598">
        <f>IF(A456&lt;=$F$3,D458+G458-J458,0)</f>
        <v>0</v>
      </c>
      <c r="N458" s="598">
        <f>IF(A456&lt;=$F$3,E458+H458-K458,0)</f>
        <v>0</v>
      </c>
      <c r="O458" s="635">
        <f>IF(A456&lt;=$F$3,F458*Q458+G458*R458+H458*S458,0)</f>
        <v>0</v>
      </c>
      <c r="P458" s="636">
        <f>IF(A456&lt;=$F$3,I458*Q458+J458*R458+K458*S458,0)</f>
        <v>0</v>
      </c>
      <c r="Q458" s="637">
        <f t="shared" ref="Q458:S473" si="163">Q433</f>
        <v>525500</v>
      </c>
      <c r="R458" s="638">
        <f t="shared" si="163"/>
        <v>703800</v>
      </c>
      <c r="S458" s="639">
        <f t="shared" si="163"/>
        <v>743200</v>
      </c>
      <c r="T458" s="637">
        <f>L458*$AH$6*AD$12</f>
        <v>0</v>
      </c>
      <c r="U458" s="640" t="e">
        <f>$AH$6*(1-AE$11)*((1+HLOOKUP($A$456,FC_Premissas!$D$5:$W$16,14,FALSE)^0.0833-1))*L458*12</f>
        <v>#REF!</v>
      </c>
      <c r="V458" s="638">
        <f>M458*$AP$6*AL$12</f>
        <v>0</v>
      </c>
      <c r="W458" s="669" t="e">
        <f>$AP$6*(1-AM$11)*((1+HLOOKUP($A$456,FC_Premissas!$D$5:$W$16,14,FALSE)^0.0833-1))*M458*12</f>
        <v>#REF!</v>
      </c>
      <c r="X458" s="637">
        <f>N458*$AX$6*AT$12</f>
        <v>0</v>
      </c>
      <c r="Y458" s="640" t="e">
        <f>$AX$6*(1-AU$11)*((1+HLOOKUP($A$456,FC_Premissas!$D$5:$W$16,14,FALSE)^0.0833-1))*N458*12</f>
        <v>#REF!</v>
      </c>
      <c r="Z458" s="638">
        <f t="shared" ref="Z458:AA478" si="164">T458+V458+X458</f>
        <v>0</v>
      </c>
      <c r="AA458" s="669" t="e">
        <f t="shared" si="164"/>
        <v>#REF!</v>
      </c>
      <c r="AB458" s="641"/>
    </row>
    <row r="459" spans="1:28" hidden="1" x14ac:dyDescent="0.2">
      <c r="A459" s="984"/>
      <c r="B459" s="633">
        <v>1</v>
      </c>
      <c r="C459" s="634">
        <f>IF(A456&lt;=$F$3,L433,0)</f>
        <v>0</v>
      </c>
      <c r="D459" s="598">
        <f>IF(A456&lt;=$F$3,M433,0)</f>
        <v>0</v>
      </c>
      <c r="E459" s="598">
        <f>IF(A456&lt;=$F$3,N433,0)</f>
        <v>0</v>
      </c>
      <c r="F459" s="679"/>
      <c r="G459" s="680"/>
      <c r="H459" s="680"/>
      <c r="I459" s="681"/>
      <c r="J459" s="680"/>
      <c r="K459" s="680"/>
      <c r="L459" s="634">
        <f>IF(A456&lt;=$F$3,C459+F459-I459,0)</f>
        <v>0</v>
      </c>
      <c r="M459" s="598">
        <f>IF(A456&lt;=$F$3,D459+G459-J459,0)</f>
        <v>0</v>
      </c>
      <c r="N459" s="598">
        <f>IF(A456&lt;=$F$3,E459+H459-K459,0)</f>
        <v>0</v>
      </c>
      <c r="O459" s="635">
        <f>IF(A456&lt;=$F$3,F459*Q459+G459*R459+H459*S459,0)</f>
        <v>0</v>
      </c>
      <c r="P459" s="636">
        <f>IF(A456&lt;=$F$3,I459*Q459+J459*R459+K459*S459,0)</f>
        <v>0</v>
      </c>
      <c r="Q459" s="637">
        <f t="shared" si="163"/>
        <v>439509.09090909094</v>
      </c>
      <c r="R459" s="638">
        <f t="shared" si="163"/>
        <v>590567.30181818188</v>
      </c>
      <c r="S459" s="639">
        <f t="shared" si="163"/>
        <v>623520.02909090917</v>
      </c>
      <c r="T459" s="637">
        <f>L459*$AH$6*AD$13</f>
        <v>0</v>
      </c>
      <c r="U459" s="640" t="e">
        <f>$AH$6*(1-AE$12)*((1+HLOOKUP($A$456,FC_Premissas!$D$5:$W$16,14,FALSE)^0.0833-1))*L459*12</f>
        <v>#REF!</v>
      </c>
      <c r="V459" s="638">
        <f>M459*$AP$6*AL$13</f>
        <v>0</v>
      </c>
      <c r="W459" s="669" t="e">
        <f>$AP$6*(1-AM$12)*((1+HLOOKUP($A$456,FC_Premissas!$D$5:$W$16,14,FALSE))^0.0833-1)*M459*12</f>
        <v>#REF!</v>
      </c>
      <c r="X459" s="637">
        <f>N459*$AX$6*AT$13</f>
        <v>0</v>
      </c>
      <c r="Y459" s="640" t="e">
        <f>$AX$6*(1-AU$12)*((1+HLOOKUP($A$456,FC_Premissas!$D$5:$W$16,14,FALSE))^0.0833-1)*N459*12</f>
        <v>#REF!</v>
      </c>
      <c r="Z459" s="638">
        <f t="shared" si="164"/>
        <v>0</v>
      </c>
      <c r="AA459" s="669" t="e">
        <f t="shared" si="164"/>
        <v>#REF!</v>
      </c>
      <c r="AB459" s="641"/>
    </row>
    <row r="460" spans="1:28" hidden="1" x14ac:dyDescent="0.2">
      <c r="A460" s="984"/>
      <c r="B460" s="633">
        <v>2</v>
      </c>
      <c r="C460" s="634">
        <f>IF(A456&lt;=$F$3,L434,0)</f>
        <v>0</v>
      </c>
      <c r="D460" s="598">
        <f>IF(A456&lt;=$F$3,M434,0)</f>
        <v>0</v>
      </c>
      <c r="E460" s="598">
        <f>IF(A456&lt;=$F$3,N434,0)</f>
        <v>0</v>
      </c>
      <c r="F460" s="679"/>
      <c r="G460" s="680"/>
      <c r="H460" s="680"/>
      <c r="I460" s="679"/>
      <c r="J460" s="680"/>
      <c r="K460" s="680"/>
      <c r="L460" s="634">
        <f>IF(A456&lt;=$F$3,C460+F460-I460,0)</f>
        <v>0</v>
      </c>
      <c r="M460" s="598">
        <f>IF(A456&lt;=$F$3,D460+G460-J460,0)</f>
        <v>0</v>
      </c>
      <c r="N460" s="598">
        <f>IF(A456&lt;=$F$3,E460+H460-K460,0)</f>
        <v>0</v>
      </c>
      <c r="O460" s="635">
        <f>IF(A456&lt;=$F$3,F460*Q460+G460*R460+H460*S460,0)</f>
        <v>0</v>
      </c>
      <c r="P460" s="636">
        <f>IF(A456&lt;=$F$3,I460*Q460+J460*R460+K460*S460,0)</f>
        <v>0</v>
      </c>
      <c r="Q460" s="637">
        <f t="shared" si="163"/>
        <v>362117.27272727271</v>
      </c>
      <c r="R460" s="638">
        <f t="shared" si="163"/>
        <v>488657.87345454545</v>
      </c>
      <c r="S460" s="639">
        <f t="shared" si="163"/>
        <v>515808.05527272727</v>
      </c>
      <c r="T460" s="637">
        <f>L460*$AH$6*AD$14</f>
        <v>0</v>
      </c>
      <c r="U460" s="640" t="e">
        <f>$AH$6*(1-AE$13)*((1+HLOOKUP($A$456,FC_Premissas!$D$5:$W$16,14,FALSE)^0.0833-1))*L460*12</f>
        <v>#REF!</v>
      </c>
      <c r="V460" s="638">
        <f>M460*$AP$6*AL$14</f>
        <v>0</v>
      </c>
      <c r="W460" s="669" t="e">
        <f>$AP$6*(1-AM$13)*((1+HLOOKUP($A$456,FC_Premissas!$D$5:$W$16,14,FALSE))^0.0833-1)*M460*12</f>
        <v>#REF!</v>
      </c>
      <c r="X460" s="637">
        <f>N460*$AX$6*AT$14</f>
        <v>0</v>
      </c>
      <c r="Y460" s="640" t="e">
        <f>$AX$6*(1-AU$13)*((1+HLOOKUP($A$456,FC_Premissas!$D$5:$W$16,14,FALSE))^0.0833-1)*N460*12</f>
        <v>#REF!</v>
      </c>
      <c r="Z460" s="638">
        <f t="shared" si="164"/>
        <v>0</v>
      </c>
      <c r="AA460" s="669" t="e">
        <f t="shared" si="164"/>
        <v>#REF!</v>
      </c>
      <c r="AB460" s="641"/>
    </row>
    <row r="461" spans="1:28" hidden="1" x14ac:dyDescent="0.2">
      <c r="A461" s="984"/>
      <c r="B461" s="633">
        <v>3</v>
      </c>
      <c r="C461" s="634">
        <f>IF(A456&lt;=$F$3,L435,0)</f>
        <v>0</v>
      </c>
      <c r="D461" s="598">
        <f>IF(A456&lt;=$F$3,M435,0)</f>
        <v>0</v>
      </c>
      <c r="E461" s="598">
        <f>IF(A456&lt;=$F$3,N435,0)</f>
        <v>0</v>
      </c>
      <c r="F461" s="679"/>
      <c r="G461" s="680"/>
      <c r="H461" s="680"/>
      <c r="I461" s="679"/>
      <c r="J461" s="680"/>
      <c r="K461" s="680"/>
      <c r="L461" s="634">
        <f>IF(A456&lt;=$F$3,C461+F461-I461,0)</f>
        <v>0</v>
      </c>
      <c r="M461" s="598">
        <f>IF(A456&lt;=$F$3,D461+G461-J461,0)</f>
        <v>0</v>
      </c>
      <c r="N461" s="598">
        <f>IF(A456&lt;=$F$3,E461+H461-K461,0)</f>
        <v>0</v>
      </c>
      <c r="O461" s="635">
        <f>IF(A456&lt;=$F$3,F461*Q461+G461*R461+H461*S461,0)</f>
        <v>0</v>
      </c>
      <c r="P461" s="636">
        <f>IF(A456&lt;=$F$3,I461*Q461+J461*R461+K461*S461,0)</f>
        <v>0</v>
      </c>
      <c r="Q461" s="637">
        <f t="shared" si="163"/>
        <v>293324.54545454541</v>
      </c>
      <c r="R461" s="638">
        <f t="shared" si="163"/>
        <v>398071.71490909089</v>
      </c>
      <c r="S461" s="639">
        <f t="shared" si="163"/>
        <v>420064.07854545448</v>
      </c>
      <c r="T461" s="637">
        <f>L461*$AH$6*AD$15</f>
        <v>0</v>
      </c>
      <c r="U461" s="640" t="e">
        <f>$AH$6*(1-AE$14)*((1+HLOOKUP($A$456,FC_Premissas!$D$5:$W$16,14,FALSE)^0.0833-1))*L461*12</f>
        <v>#REF!</v>
      </c>
      <c r="V461" s="638">
        <f>M461*$AP$6*AL$15</f>
        <v>0</v>
      </c>
      <c r="W461" s="669" t="e">
        <f>$AP$6*(1-AM$14)*((1+HLOOKUP($A$456,FC_Premissas!$D$5:$W$16,14,FALSE))^0.0833-1)*M461*12</f>
        <v>#REF!</v>
      </c>
      <c r="X461" s="637">
        <f>N461*$AX$6*AT$15</f>
        <v>0</v>
      </c>
      <c r="Y461" s="640" t="e">
        <f>$AX$6*(1-AU$14)*((1+HLOOKUP($A$456,FC_Premissas!$D$5:$W$16,14,FALSE))^0.0833-1)*N461*12</f>
        <v>#REF!</v>
      </c>
      <c r="Z461" s="638">
        <f t="shared" si="164"/>
        <v>0</v>
      </c>
      <c r="AA461" s="669" t="e">
        <f t="shared" si="164"/>
        <v>#REF!</v>
      </c>
      <c r="AB461" s="641"/>
    </row>
    <row r="462" spans="1:28" hidden="1" x14ac:dyDescent="0.2">
      <c r="A462" s="984"/>
      <c r="B462" s="633">
        <v>4</v>
      </c>
      <c r="C462" s="634">
        <f>IF(A456&lt;=$F$3,L436,0)</f>
        <v>0</v>
      </c>
      <c r="D462" s="598">
        <f>IF(A456&lt;=$F$3,M436,0)</f>
        <v>0</v>
      </c>
      <c r="E462" s="598">
        <f>IF(A456&lt;=$F$3,N436,0)</f>
        <v>0</v>
      </c>
      <c r="F462" s="679"/>
      <c r="G462" s="680"/>
      <c r="H462" s="680"/>
      <c r="I462" s="679"/>
      <c r="J462" s="680"/>
      <c r="K462" s="680"/>
      <c r="L462" s="634">
        <f>IF(A456&lt;=$F$3,C462+F462-I462,0)</f>
        <v>0</v>
      </c>
      <c r="M462" s="598">
        <f>IF(A456&lt;=$F$3,D462+G462-J462,0)</f>
        <v>0</v>
      </c>
      <c r="N462" s="598">
        <f>IF(A456&lt;=$F$3,E462+H462-K462,0)</f>
        <v>0</v>
      </c>
      <c r="O462" s="635">
        <f>IF(A456&lt;=$F$3,F462*Q462+G462*R462+H462*S462,0)</f>
        <v>0</v>
      </c>
      <c r="P462" s="636">
        <f>IF(A456&lt;=$F$3,I462*Q462+J462*R462+K462*S462,0)</f>
        <v>0</v>
      </c>
      <c r="Q462" s="637">
        <f t="shared" si="163"/>
        <v>233130.90909090909</v>
      </c>
      <c r="R462" s="638">
        <f t="shared" si="163"/>
        <v>318808.82618181815</v>
      </c>
      <c r="S462" s="639">
        <f t="shared" si="163"/>
        <v>336288.09890909091</v>
      </c>
      <c r="T462" s="637">
        <f>L462*$AH$6*AD$16</f>
        <v>0</v>
      </c>
      <c r="U462" s="640" t="e">
        <f>$AH$6*(1-AE$15)*((1+HLOOKUP($A$456,FC_Premissas!$D$5:$W$16,14,FALSE)^0.0833-1))*L462*12</f>
        <v>#REF!</v>
      </c>
      <c r="V462" s="638">
        <f>M462*$AP$6*AL$16</f>
        <v>0</v>
      </c>
      <c r="W462" s="669" t="e">
        <f>$AP$6*(1-AM$15)*((1+HLOOKUP($A$456,FC_Premissas!$D$5:$W$16,14,FALSE))^0.0833-1)*M462*12</f>
        <v>#REF!</v>
      </c>
      <c r="X462" s="637">
        <f>N462*$AX$6*AT$16</f>
        <v>0</v>
      </c>
      <c r="Y462" s="640" t="e">
        <f>$AX$6*(1-AU$15)*((1+HLOOKUP($A$456,FC_Premissas!$D$5:$W$16,14,FALSE))^0.0833-1)*N462*12</f>
        <v>#REF!</v>
      </c>
      <c r="Z462" s="638">
        <f t="shared" si="164"/>
        <v>0</v>
      </c>
      <c r="AA462" s="669" t="e">
        <f t="shared" si="164"/>
        <v>#REF!</v>
      </c>
      <c r="AB462" s="641"/>
    </row>
    <row r="463" spans="1:28" hidden="1" x14ac:dyDescent="0.2">
      <c r="A463" s="984"/>
      <c r="B463" s="633">
        <v>5</v>
      </c>
      <c r="C463" s="634">
        <f>IF(A456&lt;=$F$3,L437,0)</f>
        <v>0</v>
      </c>
      <c r="D463" s="598">
        <f>IF(A456&lt;=$F$3,M437,0)</f>
        <v>0</v>
      </c>
      <c r="E463" s="598">
        <f>IF(A456&lt;=$F$3,N437,0)</f>
        <v>0</v>
      </c>
      <c r="F463" s="679"/>
      <c r="G463" s="680"/>
      <c r="H463" s="680"/>
      <c r="I463" s="679"/>
      <c r="J463" s="680"/>
      <c r="K463" s="680"/>
      <c r="L463" s="634">
        <f>IF(A456&lt;=$F$3,C463+F463-I463,0)</f>
        <v>0</v>
      </c>
      <c r="M463" s="598">
        <f>IF(A456&lt;=$F$3,D463+G463-J463,0)</f>
        <v>0</v>
      </c>
      <c r="N463" s="598">
        <f>IF(A456&lt;=$F$3,E463+H463-K463,0)</f>
        <v>0</v>
      </c>
      <c r="O463" s="635">
        <f>IF(A456&lt;=$F$3,F463*Q463+G463*R463+H463*S463,0)</f>
        <v>0</v>
      </c>
      <c r="P463" s="636">
        <f>IF(A456&lt;=$F$3,I463*Q463+J463*R463+K463*S463,0)</f>
        <v>0</v>
      </c>
      <c r="Q463" s="637">
        <f t="shared" si="163"/>
        <v>181536.36363636365</v>
      </c>
      <c r="R463" s="638">
        <f t="shared" si="163"/>
        <v>250869.20727272728</v>
      </c>
      <c r="S463" s="639">
        <f t="shared" si="163"/>
        <v>264480.11636363639</v>
      </c>
      <c r="T463" s="637">
        <f>L463*$AH$6*AD$17</f>
        <v>0</v>
      </c>
      <c r="U463" s="640" t="e">
        <f>$AH$6*(1-AE$16)*((1+HLOOKUP($A$456,FC_Premissas!$D$5:$W$16,14,FALSE)^0.0833-1))*L463*12</f>
        <v>#REF!</v>
      </c>
      <c r="V463" s="638">
        <f>M463*$AP$6*AL$17</f>
        <v>0</v>
      </c>
      <c r="W463" s="669" t="e">
        <f>$AP$6*(1-AM$16)*((1+HLOOKUP($A$456,FC_Premissas!$D$5:$W$16,14,FALSE))^0.0833-1)*M463*12</f>
        <v>#REF!</v>
      </c>
      <c r="X463" s="637">
        <f>N463*$AX$6*AT$17</f>
        <v>0</v>
      </c>
      <c r="Y463" s="640" t="e">
        <f>$AX$6*(1-AU$16)*((1+HLOOKUP($A$456,FC_Premissas!$D$5:$W$16,14,FALSE))^0.0833-1)*N463*12</f>
        <v>#REF!</v>
      </c>
      <c r="Z463" s="638">
        <f t="shared" si="164"/>
        <v>0</v>
      </c>
      <c r="AA463" s="669" t="e">
        <f t="shared" si="164"/>
        <v>#REF!</v>
      </c>
      <c r="AB463" s="641"/>
    </row>
    <row r="464" spans="1:28" hidden="1" x14ac:dyDescent="0.2">
      <c r="A464" s="984"/>
      <c r="B464" s="633">
        <v>6</v>
      </c>
      <c r="C464" s="634">
        <f>IF(A456&lt;=$F$3,L438,0)</f>
        <v>0</v>
      </c>
      <c r="D464" s="598">
        <f>IF(A456&lt;=$F$3,M438,0)</f>
        <v>0</v>
      </c>
      <c r="E464" s="598">
        <f>IF(A456&lt;=$F$3,N438,0)</f>
        <v>0</v>
      </c>
      <c r="F464" s="679"/>
      <c r="G464" s="680"/>
      <c r="H464" s="680"/>
      <c r="I464" s="679"/>
      <c r="J464" s="680"/>
      <c r="K464" s="680"/>
      <c r="L464" s="634">
        <f>IF(A456&lt;=$F$3,C464+F464-I464,0)</f>
        <v>0</v>
      </c>
      <c r="M464" s="598">
        <f>IF(A456&lt;=$F$3,D464+G464-J464,0)</f>
        <v>0</v>
      </c>
      <c r="N464" s="598">
        <f>IF(A456&lt;=$F$3,E464+H464-K464,0)</f>
        <v>0</v>
      </c>
      <c r="O464" s="635">
        <f>IF(A456&lt;=$F$3,F464*Q464+G464*R464+H464*S464,0)</f>
        <v>0</v>
      </c>
      <c r="P464" s="636">
        <f>IF(A456&lt;=$F$3,I464*Q464+J464*R464+K464*S464,0)</f>
        <v>0</v>
      </c>
      <c r="Q464" s="637">
        <f t="shared" si="163"/>
        <v>138540.90909090912</v>
      </c>
      <c r="R464" s="638">
        <f t="shared" si="163"/>
        <v>194252.85818181818</v>
      </c>
      <c r="S464" s="639">
        <f t="shared" si="163"/>
        <v>204640.13090909092</v>
      </c>
      <c r="T464" s="637">
        <f>L464*$AH$6*AD$18</f>
        <v>0</v>
      </c>
      <c r="U464" s="640" t="e">
        <f>$AH$6*(1-AE$17)*((1+HLOOKUP($A$456,FC_Premissas!$D$5:$W$16,14,FALSE)^0.0833-1))*L464*12</f>
        <v>#REF!</v>
      </c>
      <c r="V464" s="638">
        <f>M464*$AP$6*AL$18</f>
        <v>0</v>
      </c>
      <c r="W464" s="669" t="e">
        <f>$AP$6*(1-AM$17)*((1+HLOOKUP($A$456,FC_Premissas!$D$5:$W$16,14,FALSE))^0.0833-1)*M464*12</f>
        <v>#REF!</v>
      </c>
      <c r="X464" s="637">
        <f>N464*$AX$6*AT$18</f>
        <v>0</v>
      </c>
      <c r="Y464" s="640" t="e">
        <f>$AX$6*(1-AU$17)*((1+HLOOKUP($A$456,FC_Premissas!$D$5:$W$16,14,FALSE))^0.0833-1)*N464*12</f>
        <v>#REF!</v>
      </c>
      <c r="Z464" s="638">
        <f t="shared" si="164"/>
        <v>0</v>
      </c>
      <c r="AA464" s="669" t="e">
        <f t="shared" si="164"/>
        <v>#REF!</v>
      </c>
      <c r="AB464" s="641"/>
    </row>
    <row r="465" spans="1:28" hidden="1" x14ac:dyDescent="0.2">
      <c r="A465" s="984"/>
      <c r="B465" s="633">
        <v>7</v>
      </c>
      <c r="C465" s="634">
        <f>IF(A456&lt;=$F$3,L439,0)</f>
        <v>0</v>
      </c>
      <c r="D465" s="598">
        <f>IF(A456&lt;=$F$3,M439,0)</f>
        <v>0</v>
      </c>
      <c r="E465" s="598">
        <f>IF(A456&lt;=$F$3,N439,0)</f>
        <v>0</v>
      </c>
      <c r="F465" s="679"/>
      <c r="G465" s="680"/>
      <c r="H465" s="680"/>
      <c r="I465" s="679"/>
      <c r="J465" s="680"/>
      <c r="K465" s="680"/>
      <c r="L465" s="634">
        <f>IF(A456&lt;=$F$3,C465+F465-I465,0)</f>
        <v>0</v>
      </c>
      <c r="M465" s="598">
        <f>IF(A456&lt;=$F$3,D465+G465-J465,0)</f>
        <v>0</v>
      </c>
      <c r="N465" s="598">
        <f>IF(A456&lt;=$F$3,E465+H465-K465,0)</f>
        <v>0</v>
      </c>
      <c r="O465" s="635">
        <f>IF(A456&lt;=$F$3,F465*Q465+G465*R465+H465*S465,0)</f>
        <v>0</v>
      </c>
      <c r="P465" s="636">
        <f>IF(A456&lt;=$F$3,I465*Q465+J465*R465+K465*S465,0)</f>
        <v>0</v>
      </c>
      <c r="Q465" s="637">
        <f t="shared" si="163"/>
        <v>104144.54545454548</v>
      </c>
      <c r="R465" s="638">
        <f t="shared" si="163"/>
        <v>148959.77890909094</v>
      </c>
      <c r="S465" s="639">
        <f t="shared" si="163"/>
        <v>156768.14254545458</v>
      </c>
      <c r="T465" s="637">
        <f>L465*$AH$6*AD$19</f>
        <v>0</v>
      </c>
      <c r="U465" s="640" t="e">
        <f>$AH$6*(1-AE$18)*((1+HLOOKUP($A$456,FC_Premissas!$D$5:$W$16,14,FALSE)^0.0833-1))*L465*12</f>
        <v>#REF!</v>
      </c>
      <c r="V465" s="638">
        <f>M465*$AP$6*AL$19</f>
        <v>0</v>
      </c>
      <c r="W465" s="669" t="e">
        <f>$AP$6*(1-AM$18)*((1+HLOOKUP($A$456,FC_Premissas!$D$5:$W$16,14,FALSE))^0.0833-1)*M465*12</f>
        <v>#REF!</v>
      </c>
      <c r="X465" s="637">
        <f>N465*$AX$6*AT$19</f>
        <v>0</v>
      </c>
      <c r="Y465" s="640" t="e">
        <f>$AX$6*(1-AU$18)*((1+HLOOKUP($A$456,FC_Premissas!$D$5:$W$16,14,FALSE))^0.0833-1)*N465*12</f>
        <v>#REF!</v>
      </c>
      <c r="Z465" s="638">
        <f t="shared" si="164"/>
        <v>0</v>
      </c>
      <c r="AA465" s="669" t="e">
        <f t="shared" si="164"/>
        <v>#REF!</v>
      </c>
      <c r="AB465" s="641"/>
    </row>
    <row r="466" spans="1:28" hidden="1" x14ac:dyDescent="0.2">
      <c r="A466" s="984"/>
      <c r="B466" s="633">
        <v>8</v>
      </c>
      <c r="C466" s="634">
        <f>IF(A456&lt;=$F$3,L440,0)</f>
        <v>0</v>
      </c>
      <c r="D466" s="598">
        <f>IF(A456&lt;=$F$3,M440,0)</f>
        <v>0</v>
      </c>
      <c r="E466" s="598">
        <f>IF(A456&lt;=$F$3,N440,0)</f>
        <v>0</v>
      </c>
      <c r="F466" s="679"/>
      <c r="G466" s="680"/>
      <c r="H466" s="680"/>
      <c r="I466" s="679"/>
      <c r="J466" s="680"/>
      <c r="K466" s="680"/>
      <c r="L466" s="634">
        <f>IF(A456&lt;=$F$3,C466+F466-I466,0)</f>
        <v>0</v>
      </c>
      <c r="M466" s="598">
        <f>IF(A456&lt;=$F$3,D466+G466-J466,0)</f>
        <v>0</v>
      </c>
      <c r="N466" s="598">
        <f>IF(A456&lt;=$F$3,E466+H466-K466,0)</f>
        <v>0</v>
      </c>
      <c r="O466" s="635">
        <f>IF(A456&lt;=$F$3,F466*Q466+G466*R466+H466*S466,0)</f>
        <v>0</v>
      </c>
      <c r="P466" s="636">
        <f>IF(A456&lt;=$F$3,I466*Q466+J466*R466+K466*S466,0)</f>
        <v>0</v>
      </c>
      <c r="Q466" s="637">
        <f t="shared" si="163"/>
        <v>78347.272727272764</v>
      </c>
      <c r="R466" s="638">
        <f t="shared" si="163"/>
        <v>114989.9694545455</v>
      </c>
      <c r="S466" s="639">
        <f t="shared" si="163"/>
        <v>120864.15127272732</v>
      </c>
      <c r="T466" s="637">
        <f>L466*$AH$6*AD$20</f>
        <v>0</v>
      </c>
      <c r="U466" s="640" t="e">
        <f>$AH$6*(1-AE$19)*((1+HLOOKUP($A$456,FC_Premissas!$D$5:$W$16,14,FALSE)^0.0833-1))*L466*12</f>
        <v>#REF!</v>
      </c>
      <c r="V466" s="638">
        <f>M466*$AP$6*AL$20</f>
        <v>0</v>
      </c>
      <c r="W466" s="669" t="e">
        <f>$AP$6*(1-AM$19)*((1+HLOOKUP($A$456,FC_Premissas!$D$5:$W$16,14,FALSE))^0.0833-1)*M466*12</f>
        <v>#REF!</v>
      </c>
      <c r="X466" s="637">
        <f>N466*$AX$6*AT$20</f>
        <v>0</v>
      </c>
      <c r="Y466" s="640" t="e">
        <f>$AX$6*(1-AU$19)*((1+HLOOKUP($A$456,FC_Premissas!$D$5:$W$16,14,FALSE))^0.0833-1)*N466*12</f>
        <v>#REF!</v>
      </c>
      <c r="Z466" s="638">
        <f t="shared" si="164"/>
        <v>0</v>
      </c>
      <c r="AA466" s="669" t="e">
        <f t="shared" si="164"/>
        <v>#REF!</v>
      </c>
      <c r="AB466" s="641"/>
    </row>
    <row r="467" spans="1:28" hidden="1" x14ac:dyDescent="0.2">
      <c r="A467" s="984"/>
      <c r="B467" s="633">
        <v>9</v>
      </c>
      <c r="C467" s="634">
        <f>IF(A456&lt;=$F$3,L441,0)</f>
        <v>0</v>
      </c>
      <c r="D467" s="598">
        <f>IF(A456&lt;=$F$3,M441,0)</f>
        <v>0</v>
      </c>
      <c r="E467" s="598">
        <f>IF(A456&lt;=$F$3,N441,0)</f>
        <v>0</v>
      </c>
      <c r="F467" s="679"/>
      <c r="G467" s="680"/>
      <c r="H467" s="680"/>
      <c r="I467" s="679"/>
      <c r="J467" s="680"/>
      <c r="K467" s="680"/>
      <c r="L467" s="634">
        <f>IF(A456&lt;=$F$3,C467+F467-I467,0)</f>
        <v>0</v>
      </c>
      <c r="M467" s="598">
        <f>IF(A456&lt;=$F$3,D467+G467-J467,0)</f>
        <v>0</v>
      </c>
      <c r="N467" s="598">
        <f>IF(A456&lt;=$F$3,E467+H467-K467,0)</f>
        <v>0</v>
      </c>
      <c r="O467" s="635">
        <f>IF(A456&lt;=$F$3,F467*Q467+G467*R467+H467*S467,0)</f>
        <v>0</v>
      </c>
      <c r="P467" s="636">
        <f>IF(A456&lt;=$F$3,I467*Q467+J467*R467+K467*S467,0)</f>
        <v>0</v>
      </c>
      <c r="Q467" s="637">
        <f t="shared" si="163"/>
        <v>61149.090909090955</v>
      </c>
      <c r="R467" s="638">
        <f t="shared" si="163"/>
        <v>92343.429818181874</v>
      </c>
      <c r="S467" s="639">
        <f t="shared" si="163"/>
        <v>96928.157090909139</v>
      </c>
      <c r="T467" s="637">
        <f>L467*$AH$6*AD$21</f>
        <v>0</v>
      </c>
      <c r="U467" s="640" t="e">
        <f>$AH$6*(1-AE$20)*((1+HLOOKUP($A$456,FC_Premissas!$D$5:$W$16,14,FALSE)^0.0833-1))*L467*12</f>
        <v>#REF!</v>
      </c>
      <c r="V467" s="638">
        <f>M467*$AP$6*AL$21</f>
        <v>0</v>
      </c>
      <c r="W467" s="669" t="e">
        <f>$AP$6*(1-AM$20)*((1+HLOOKUP($A$456,FC_Premissas!$D$5:$W$16,14,FALSE))^0.0833-1)*M467*12</f>
        <v>#REF!</v>
      </c>
      <c r="X467" s="637">
        <f>N467*$AX$6*AT$21</f>
        <v>0</v>
      </c>
      <c r="Y467" s="640" t="e">
        <f>$AX$6*(1-AU$20)*((1+HLOOKUP($A$456,FC_Premissas!$D$5:$W$16,14,FALSE))^0.0833-1)*N467*12</f>
        <v>#REF!</v>
      </c>
      <c r="Z467" s="638">
        <f t="shared" si="164"/>
        <v>0</v>
      </c>
      <c r="AA467" s="669" t="e">
        <f t="shared" si="164"/>
        <v>#REF!</v>
      </c>
      <c r="AB467" s="641"/>
    </row>
    <row r="468" spans="1:28" hidden="1" x14ac:dyDescent="0.2">
      <c r="A468" s="984"/>
      <c r="B468" s="633">
        <v>10</v>
      </c>
      <c r="C468" s="634">
        <f>IF(A456&lt;=$F$3,L442,0)</f>
        <v>0</v>
      </c>
      <c r="D468" s="598">
        <f>IF(A456&lt;=$F$3,M442,0)</f>
        <v>0</v>
      </c>
      <c r="E468" s="598">
        <f>IF(A456&lt;=$F$3,N442,0)</f>
        <v>0</v>
      </c>
      <c r="F468" s="679"/>
      <c r="G468" s="680"/>
      <c r="H468" s="680"/>
      <c r="I468" s="679"/>
      <c r="J468" s="680"/>
      <c r="K468" s="680"/>
      <c r="L468" s="634">
        <f>IF(A456&lt;=$F$3,C468+F468-I468,0)</f>
        <v>0</v>
      </c>
      <c r="M468" s="598">
        <f>IF(A456&lt;=$F$3,D468+G468-J468,0)</f>
        <v>0</v>
      </c>
      <c r="N468" s="598">
        <f>IF(A456&lt;=$F$3,E468+H468-K468,0)</f>
        <v>0</v>
      </c>
      <c r="O468" s="635">
        <f>IF(A456&lt;=$F$3,F468*Q468+G468*R468+H468*S468,0)</f>
        <v>0</v>
      </c>
      <c r="P468" s="636">
        <f>IF(A456&lt;=$F$3,I468*Q468+J468*R468+K468*S468,0)</f>
        <v>0</v>
      </c>
      <c r="Q468" s="637">
        <f t="shared" si="163"/>
        <v>52550.000000000044</v>
      </c>
      <c r="R468" s="638">
        <f t="shared" si="163"/>
        <v>81020.160000000062</v>
      </c>
      <c r="S468" s="639">
        <f t="shared" si="163"/>
        <v>84960.160000000062</v>
      </c>
      <c r="T468" s="637">
        <f>L468*$AH$6*AD$22</f>
        <v>0</v>
      </c>
      <c r="U468" s="640" t="e">
        <f>$AH$6*(1-AE$21)*((1+HLOOKUP($A$456,FC_Premissas!$D$5:$W$16,14,FALSE)^0.0833-1))*L468*12</f>
        <v>#REF!</v>
      </c>
      <c r="V468" s="638">
        <f>M468*$AP$6*AL$22</f>
        <v>0</v>
      </c>
      <c r="W468" s="669" t="e">
        <f>$AP$6*(1-AM$21)*((1+HLOOKUP($A$456,FC_Premissas!$D$5:$W$16,14,FALSE))^0.0833-1)*M468*12</f>
        <v>#REF!</v>
      </c>
      <c r="X468" s="637">
        <f>N468*$AX$6*AT$22</f>
        <v>0</v>
      </c>
      <c r="Y468" s="640" t="e">
        <f>$AX$6*(1-AU$21)*((1+HLOOKUP($A$456,FC_Premissas!$D$5:$W$16,14,FALSE))^0.0833-1)*N468*12</f>
        <v>#REF!</v>
      </c>
      <c r="Z468" s="638">
        <f t="shared" si="164"/>
        <v>0</v>
      </c>
      <c r="AA468" s="669" t="e">
        <f t="shared" si="164"/>
        <v>#REF!</v>
      </c>
      <c r="AB468" s="641"/>
    </row>
    <row r="469" spans="1:28" hidden="1" x14ac:dyDescent="0.2">
      <c r="A469" s="984"/>
      <c r="B469" s="633">
        <v>11</v>
      </c>
      <c r="C469" s="634">
        <f>IF(A456&lt;=$F$3,L443,0)</f>
        <v>0</v>
      </c>
      <c r="D469" s="598">
        <f>IF(A456&lt;=$F$3,M443,0)</f>
        <v>0</v>
      </c>
      <c r="E469" s="598">
        <f>IF(A456&lt;=$F$3,N443,0)</f>
        <v>0</v>
      </c>
      <c r="F469" s="679"/>
      <c r="G469" s="680"/>
      <c r="H469" s="680"/>
      <c r="I469" s="679"/>
      <c r="J469" s="680"/>
      <c r="K469" s="680"/>
      <c r="L469" s="634">
        <f>IF(A456&lt;=$F$3,C469+F469-I469,0)</f>
        <v>0</v>
      </c>
      <c r="M469" s="598">
        <f>IF(A456&lt;=$F$3,D469+G469-J469,0)</f>
        <v>0</v>
      </c>
      <c r="N469" s="598">
        <f>IF(A456&lt;=$F$3,E469+H469-K469,0)</f>
        <v>0</v>
      </c>
      <c r="O469" s="635">
        <f>IF(A456&lt;=$F$3,F469*Q469+G469*R469+H469*S469,0)</f>
        <v>0</v>
      </c>
      <c r="P469" s="636">
        <f>IF(A456&lt;=$F$3,I469*Q469+J469*R469+K469*S469,0)</f>
        <v>0</v>
      </c>
      <c r="Q469" s="637">
        <f t="shared" si="163"/>
        <v>52550.000000000044</v>
      </c>
      <c r="R469" s="638">
        <f t="shared" si="163"/>
        <v>81020.160000000062</v>
      </c>
      <c r="S469" s="639">
        <f t="shared" si="163"/>
        <v>84960.160000000062</v>
      </c>
      <c r="T469" s="637">
        <f>L469*$AH$6*AD$23</f>
        <v>0</v>
      </c>
      <c r="U469" s="640" t="e">
        <f>$AH$6*(1-AE$22)*((1+HLOOKUP($A$456,FC_Premissas!$D$5:$W$16,14,FALSE)^0.0833-1))*L469*12</f>
        <v>#REF!</v>
      </c>
      <c r="V469" s="638">
        <f>M469*$AP$6*AL$23</f>
        <v>0</v>
      </c>
      <c r="W469" s="669" t="e">
        <f>$AP$6*(1-AM$22)*((1+HLOOKUP($A$456,FC_Premissas!$D$5:$W$16,14,FALSE))^0.0833-1)*M469*12</f>
        <v>#REF!</v>
      </c>
      <c r="X469" s="637">
        <f>N469*$AX$6*AT$23</f>
        <v>0</v>
      </c>
      <c r="Y469" s="640" t="e">
        <f>$AX$6*(1-AU$22)*((1+HLOOKUP($A$456,FC_Premissas!$D$5:$W$16,14,FALSE))^0.0833-1)*N469*12</f>
        <v>#REF!</v>
      </c>
      <c r="Z469" s="638">
        <f t="shared" si="164"/>
        <v>0</v>
      </c>
      <c r="AA469" s="669" t="e">
        <f t="shared" si="164"/>
        <v>#REF!</v>
      </c>
      <c r="AB469" s="641"/>
    </row>
    <row r="470" spans="1:28" hidden="1" x14ac:dyDescent="0.2">
      <c r="A470" s="984"/>
      <c r="B470" s="633">
        <v>12</v>
      </c>
      <c r="C470" s="634">
        <f>IF(A456&lt;=$F$3,L444,0)</f>
        <v>0</v>
      </c>
      <c r="D470" s="598">
        <f>IF(A456&lt;=$F$3,M444,0)</f>
        <v>0</v>
      </c>
      <c r="E470" s="598">
        <f>IF(A456&lt;=$F$3,N444,0)</f>
        <v>0</v>
      </c>
      <c r="F470" s="679"/>
      <c r="G470" s="680"/>
      <c r="H470" s="680"/>
      <c r="I470" s="679"/>
      <c r="J470" s="680"/>
      <c r="K470" s="680"/>
      <c r="L470" s="634">
        <f>IF(A456&lt;=$F$3,C470+F470-I470,0)</f>
        <v>0</v>
      </c>
      <c r="M470" s="598">
        <f>IF(A456&lt;=$F$3,D470+G470-J470,0)</f>
        <v>0</v>
      </c>
      <c r="N470" s="598">
        <f>IF(A456&lt;=$F$3,E470+H470-K470,0)</f>
        <v>0</v>
      </c>
      <c r="O470" s="635">
        <f>IF(A456&lt;=$F$3,F470*Q470+G470*R470+H470*S470,0)</f>
        <v>0</v>
      </c>
      <c r="P470" s="636">
        <f>IF(A456&lt;=$F$3,I470*Q470+J470*R470+K470*S470,0)</f>
        <v>0</v>
      </c>
      <c r="Q470" s="637">
        <f t="shared" si="163"/>
        <v>52550.000000000044</v>
      </c>
      <c r="R470" s="638">
        <f t="shared" si="163"/>
        <v>81020.160000000062</v>
      </c>
      <c r="S470" s="639">
        <f t="shared" si="163"/>
        <v>84960.160000000062</v>
      </c>
      <c r="T470" s="637">
        <f>L470*$AH$6*AD$24</f>
        <v>0</v>
      </c>
      <c r="U470" s="640" t="e">
        <f>$AH$6*(1-AE$23)*((1+HLOOKUP($A$456,FC_Premissas!$D$5:$W$16,14,FALSE)^0.0833-1))*L470*12</f>
        <v>#REF!</v>
      </c>
      <c r="V470" s="638">
        <f>M470*$AP$6*AL$24</f>
        <v>0</v>
      </c>
      <c r="W470" s="669" t="e">
        <f>$AP$6*(1-AM$23)*((1+HLOOKUP($A$456,FC_Premissas!$D$5:$W$16,14,FALSE))^0.0833-1)*M470*12</f>
        <v>#REF!</v>
      </c>
      <c r="X470" s="637">
        <f>N470*$AX$6*AT$24</f>
        <v>0</v>
      </c>
      <c r="Y470" s="640" t="e">
        <f>$AX$6*(1-AU$23)*((1+HLOOKUP($A$456,FC_Premissas!$D$5:$W$16,14,FALSE))^0.0833-1)*N470*12</f>
        <v>#REF!</v>
      </c>
      <c r="Z470" s="638">
        <f t="shared" si="164"/>
        <v>0</v>
      </c>
      <c r="AA470" s="669" t="e">
        <f t="shared" si="164"/>
        <v>#REF!</v>
      </c>
      <c r="AB470" s="641"/>
    </row>
    <row r="471" spans="1:28" ht="11.25" hidden="1" customHeight="1" x14ac:dyDescent="0.2">
      <c r="A471" s="984"/>
      <c r="B471" s="633">
        <v>13</v>
      </c>
      <c r="C471" s="634">
        <f>IF(A456&lt;=$F$3,L445,0)</f>
        <v>0</v>
      </c>
      <c r="D471" s="598">
        <f>IF(A456&lt;=$F$3,M445,0)</f>
        <v>0</v>
      </c>
      <c r="E471" s="650">
        <f>IF(A456&lt;=$F$3,N445,0)</f>
        <v>0</v>
      </c>
      <c r="F471" s="634"/>
      <c r="G471" s="598"/>
      <c r="H471" s="598"/>
      <c r="I471" s="634"/>
      <c r="J471" s="598"/>
      <c r="K471" s="598"/>
      <c r="L471" s="634">
        <f>IF(A456&lt;=$F$3,C471+F471-I471,0)</f>
        <v>0</v>
      </c>
      <c r="M471" s="598">
        <f>IF(A456&lt;=$F$3,D471+G471-J471,0)</f>
        <v>0</v>
      </c>
      <c r="N471" s="598">
        <f>IF(A456&lt;=$F$3,E471+H471-K471,0)</f>
        <v>0</v>
      </c>
      <c r="O471" s="635">
        <f>IF(A456&lt;=$F$3,F471*Q471+G471*R471+H471*S471,0)</f>
        <v>0</v>
      </c>
      <c r="P471" s="636">
        <f>IF(A456&lt;=$F$3,I471*Q471+J471*R471+K471*S471,0)</f>
        <v>0</v>
      </c>
      <c r="Q471" s="637">
        <f t="shared" si="163"/>
        <v>52550.000000000044</v>
      </c>
      <c r="R471" s="638">
        <f t="shared" si="163"/>
        <v>81020.160000000062</v>
      </c>
      <c r="S471" s="639">
        <f t="shared" si="163"/>
        <v>84960.160000000062</v>
      </c>
      <c r="T471" s="637">
        <f>L471*$AH$6*AD$25</f>
        <v>0</v>
      </c>
      <c r="U471" s="640" t="e">
        <f>$AH$6*(1-AE$24)*((1+HLOOKUP($A$456,FC_Premissas!$D$5:$W$16,14,FALSE)^0.0833-1))*L471*12</f>
        <v>#REF!</v>
      </c>
      <c r="V471" s="638">
        <f>M471*$AP$6*AL$25</f>
        <v>0</v>
      </c>
      <c r="W471" s="669" t="e">
        <f>$AP$6*(1-AM$24)*((1+HLOOKUP($A$456,FC_Premissas!$D$5:$W$16,14,FALSE))^0.0833-1)*M471*12</f>
        <v>#REF!</v>
      </c>
      <c r="X471" s="637">
        <f>N471*$AX$6*AT$25</f>
        <v>0</v>
      </c>
      <c r="Y471" s="640" t="e">
        <f>$AX$6*(1-AU$24)*((1+HLOOKUP($A$456,FC_Premissas!$D$5:$W$16,14,FALSE))^0.0833-1)*N471*12</f>
        <v>#REF!</v>
      </c>
      <c r="Z471" s="638">
        <f t="shared" si="164"/>
        <v>0</v>
      </c>
      <c r="AA471" s="669" t="e">
        <f t="shared" si="164"/>
        <v>#REF!</v>
      </c>
      <c r="AB471" s="641"/>
    </row>
    <row r="472" spans="1:28" ht="11.25" hidden="1" customHeight="1" x14ac:dyDescent="0.2">
      <c r="A472" s="984"/>
      <c r="B472" s="633">
        <v>14</v>
      </c>
      <c r="C472" s="634">
        <f>IF(A456&lt;=$F$3,L446,0)</f>
        <v>0</v>
      </c>
      <c r="D472" s="598">
        <f>IF(A456&lt;=$F$3,M446,0)</f>
        <v>0</v>
      </c>
      <c r="E472" s="650">
        <f>IF(A456&lt;=$F$3,N446,0)</f>
        <v>0</v>
      </c>
      <c r="F472" s="634"/>
      <c r="G472" s="598"/>
      <c r="H472" s="598"/>
      <c r="I472" s="634"/>
      <c r="J472" s="598"/>
      <c r="K472" s="598"/>
      <c r="L472" s="634">
        <f>IF(A456&lt;=$F$3,C472+F472-I472,0)</f>
        <v>0</v>
      </c>
      <c r="M472" s="598">
        <f>IF(A456&lt;=$F$3,D472+G472-J472,0)</f>
        <v>0</v>
      </c>
      <c r="N472" s="598">
        <f>IF(A456&lt;=$F$3,E472+H472-K472,0)</f>
        <v>0</v>
      </c>
      <c r="O472" s="635">
        <f>IF(A456&lt;=$F$3,F472*Q472+G472*R472+H472*S472,0)</f>
        <v>0</v>
      </c>
      <c r="P472" s="636">
        <f>IF(A456&lt;=$F$3,I472*Q472+J472*R472+K472*S472,0)</f>
        <v>0</v>
      </c>
      <c r="Q472" s="637">
        <f t="shared" si="163"/>
        <v>52550.000000000044</v>
      </c>
      <c r="R472" s="638">
        <f t="shared" si="163"/>
        <v>81020.160000000062</v>
      </c>
      <c r="S472" s="639">
        <f t="shared" si="163"/>
        <v>84960.160000000062</v>
      </c>
      <c r="T472" s="637">
        <f>L472*$AH$6*AD$26</f>
        <v>0</v>
      </c>
      <c r="U472" s="640" t="e">
        <f>$AH$6*(1-AE$25)*((1+HLOOKUP($A$456,FC_Premissas!$D$5:$W$16,14,FALSE)^0.0833-1))*L472*12</f>
        <v>#REF!</v>
      </c>
      <c r="V472" s="638">
        <f>M472*$AP$6*AL$26</f>
        <v>0</v>
      </c>
      <c r="W472" s="669" t="e">
        <f>$AP$6*(1-AM$25)*((1+HLOOKUP($A$456,FC_Premissas!$D$5:$W$16,14,FALSE))^0.0833-1)*M472*12</f>
        <v>#REF!</v>
      </c>
      <c r="X472" s="637">
        <f>N472*$AX$6*AT$26</f>
        <v>0</v>
      </c>
      <c r="Y472" s="640" t="e">
        <f>$AX$6*(1-AU$25)*((1+HLOOKUP($A$456,FC_Premissas!$D$5:$W$16,14,FALSE))^0.0833-1)*N472*12</f>
        <v>#REF!</v>
      </c>
      <c r="Z472" s="638">
        <f t="shared" si="164"/>
        <v>0</v>
      </c>
      <c r="AA472" s="669" t="e">
        <f t="shared" si="164"/>
        <v>#REF!</v>
      </c>
      <c r="AB472" s="641"/>
    </row>
    <row r="473" spans="1:28" ht="11.25" hidden="1" customHeight="1" x14ac:dyDescent="0.2">
      <c r="A473" s="984"/>
      <c r="B473" s="633">
        <v>15</v>
      </c>
      <c r="C473" s="634">
        <f>IF(A456&lt;=$F$3,L447,0)</f>
        <v>0</v>
      </c>
      <c r="D473" s="598">
        <f>IF(A456&lt;=$F$3,M447,0)</f>
        <v>0</v>
      </c>
      <c r="E473" s="650">
        <f>IF(A456&lt;=$F$3,N447,0)</f>
        <v>0</v>
      </c>
      <c r="F473" s="634"/>
      <c r="G473" s="598"/>
      <c r="H473" s="598"/>
      <c r="I473" s="634"/>
      <c r="J473" s="598"/>
      <c r="K473" s="598"/>
      <c r="L473" s="634">
        <f>IF(A456&lt;=$F$3,C473+F473-I473,0)</f>
        <v>0</v>
      </c>
      <c r="M473" s="598">
        <f>IF(A456&lt;=$F$3,D473+G473-J473,0)</f>
        <v>0</v>
      </c>
      <c r="N473" s="598">
        <f>IF(A456&lt;=$F$3,E473+H473-K473,0)</f>
        <v>0</v>
      </c>
      <c r="O473" s="635">
        <f>IF(A456&lt;=$F$3,F473*Q473+G473*R473+H473*S473,0)</f>
        <v>0</v>
      </c>
      <c r="P473" s="636">
        <f>IF(A456&lt;=$F$3,I473*Q473+J473*R473+K473*S473,0)</f>
        <v>0</v>
      </c>
      <c r="Q473" s="637">
        <f t="shared" si="163"/>
        <v>52550.000000000044</v>
      </c>
      <c r="R473" s="638">
        <f t="shared" si="163"/>
        <v>81020.160000000062</v>
      </c>
      <c r="S473" s="639">
        <f t="shared" si="163"/>
        <v>84960.160000000062</v>
      </c>
      <c r="T473" s="637">
        <f t="shared" ref="T473:T478" si="165">L473*$AH$6*AD$27</f>
        <v>0</v>
      </c>
      <c r="U473" s="640" t="e">
        <f>$AH$6*(1-AE$26)*((1+HLOOKUP($A$456,FC_Premissas!$D$5:$W$16,14,FALSE)^0.0833-1))*L473*12</f>
        <v>#REF!</v>
      </c>
      <c r="V473" s="638">
        <f t="shared" ref="V473:V478" si="166">M473*$AP$6*AL$27</f>
        <v>0</v>
      </c>
      <c r="W473" s="669" t="e">
        <f>$AP$6*(1-AM$26)*((1+HLOOKUP($A$456,FC_Premissas!$D$5:$W$16,14,FALSE))^0.0833-1)*M473*12</f>
        <v>#REF!</v>
      </c>
      <c r="X473" s="637">
        <f t="shared" ref="X473:X478" si="167">N473*$AX$6*AT$27</f>
        <v>0</v>
      </c>
      <c r="Y473" s="640" t="e">
        <f>$AX$6*(1-AU$26)*((1+HLOOKUP($A$456,FC_Premissas!$D$5:$W$16,14,FALSE))^0.0833-1)*N473*12</f>
        <v>#REF!</v>
      </c>
      <c r="Z473" s="638">
        <f t="shared" si="164"/>
        <v>0</v>
      </c>
      <c r="AA473" s="640" t="e">
        <f t="shared" si="164"/>
        <v>#REF!</v>
      </c>
      <c r="AB473" s="641"/>
    </row>
    <row r="474" spans="1:28" hidden="1" x14ac:dyDescent="0.2">
      <c r="A474" s="984"/>
      <c r="B474" s="633">
        <v>16</v>
      </c>
      <c r="C474" s="634">
        <f>IF(A456&lt;=$F$3,L448,0)</f>
        <v>0</v>
      </c>
      <c r="D474" s="598">
        <f>IF(A456&lt;=$F$3,M448,0)</f>
        <v>0</v>
      </c>
      <c r="E474" s="650">
        <f>IF(A456&lt;=$F$3,N448,0)</f>
        <v>0</v>
      </c>
      <c r="F474" s="634"/>
      <c r="G474" s="598"/>
      <c r="H474" s="598"/>
      <c r="I474" s="634"/>
      <c r="J474" s="598"/>
      <c r="K474" s="598"/>
      <c r="L474" s="634">
        <f>IF(A456&lt;=$F$3,C474+F474-I474,0)</f>
        <v>0</v>
      </c>
      <c r="M474" s="598">
        <f>IF(A456&lt;=$F$3,D474+G474-J474,0)</f>
        <v>0</v>
      </c>
      <c r="N474" s="598">
        <f>IF(A456&lt;=$F$3,E474+H474-K474,0)</f>
        <v>0</v>
      </c>
      <c r="O474" s="635">
        <f>IF(A456&lt;=$F$3,F474*Q474+G474*R474+H474*S474,0)</f>
        <v>0</v>
      </c>
      <c r="P474" s="636">
        <f>IF(A456&lt;=$F$3,I474*Q474+J474*R474+K474*S474,0)</f>
        <v>0</v>
      </c>
      <c r="Q474" s="637">
        <f t="shared" ref="Q474:S478" si="168">Q449</f>
        <v>52550.000000000044</v>
      </c>
      <c r="R474" s="638">
        <f t="shared" si="168"/>
        <v>81020.160000000062</v>
      </c>
      <c r="S474" s="639">
        <f t="shared" si="168"/>
        <v>84960.160000000062</v>
      </c>
      <c r="T474" s="637">
        <f t="shared" si="165"/>
        <v>0</v>
      </c>
      <c r="U474" s="640" t="e">
        <f>$AH$6*(1-AE$27)*((1+HLOOKUP($A$456,FC_Premissas!$D$5:$W$16,14,FALSE)^0.0833-1))*L474*12</f>
        <v>#REF!</v>
      </c>
      <c r="V474" s="638">
        <f t="shared" si="166"/>
        <v>0</v>
      </c>
      <c r="W474" s="669" t="e">
        <f>$AP$6*(1-AM$27)*((1+HLOOKUP($A$456,FC_Premissas!$D$5:$W$16,14,FALSE))^0.0833-1)*M474*12</f>
        <v>#REF!</v>
      </c>
      <c r="X474" s="637">
        <f t="shared" si="167"/>
        <v>0</v>
      </c>
      <c r="Y474" s="640" t="e">
        <f>$AX$6*(1-AU$27)*((1+HLOOKUP($A$456,FC_Premissas!$D$5:$W$16,14,FALSE))^0.0833-1)*N474*12</f>
        <v>#REF!</v>
      </c>
      <c r="Z474" s="638">
        <f t="shared" si="164"/>
        <v>0</v>
      </c>
      <c r="AA474" s="640" t="e">
        <f t="shared" si="164"/>
        <v>#REF!</v>
      </c>
      <c r="AB474" s="641"/>
    </row>
    <row r="475" spans="1:28" hidden="1" x14ac:dyDescent="0.2">
      <c r="A475" s="984"/>
      <c r="B475" s="633">
        <v>17</v>
      </c>
      <c r="C475" s="634">
        <f>IF(A456&lt;=$F$3,L449,0)</f>
        <v>0</v>
      </c>
      <c r="D475" s="598">
        <f>IF(A456&lt;=$F$3,M449,0)</f>
        <v>0</v>
      </c>
      <c r="E475" s="650">
        <f>IF(A456&lt;=$F$3,N449,0)</f>
        <v>0</v>
      </c>
      <c r="F475" s="634"/>
      <c r="G475" s="598"/>
      <c r="H475" s="598"/>
      <c r="I475" s="634"/>
      <c r="J475" s="598"/>
      <c r="K475" s="598"/>
      <c r="L475" s="634">
        <f>IF(A456&lt;=$F$3,C475+F475-I475,0)</f>
        <v>0</v>
      </c>
      <c r="M475" s="598">
        <f>IF(A456&lt;=$F$3,D475+G475-J475,0)</f>
        <v>0</v>
      </c>
      <c r="N475" s="598">
        <f>IF(A456&lt;=$F$3,E475+H475-K475,0)</f>
        <v>0</v>
      </c>
      <c r="O475" s="635">
        <f>IF(A456&lt;=$F$3,F475*Q475+G475*R475+H475*S475,0)</f>
        <v>0</v>
      </c>
      <c r="P475" s="636">
        <f>IF(A456&lt;=$F$3,I475*Q475+J475*R475+K475*S475,0)</f>
        <v>0</v>
      </c>
      <c r="Q475" s="637">
        <f t="shared" si="168"/>
        <v>52550.000000000044</v>
      </c>
      <c r="R475" s="638">
        <f t="shared" si="168"/>
        <v>81020.160000000062</v>
      </c>
      <c r="S475" s="639">
        <f t="shared" si="168"/>
        <v>84960.160000000062</v>
      </c>
      <c r="T475" s="637">
        <f t="shared" si="165"/>
        <v>0</v>
      </c>
      <c r="U475" s="640" t="e">
        <f>$AH$6*(1-AE$28)*((1+HLOOKUP($A$456,FC_Premissas!$D$5:$W$16,14,FALSE)^0.0833-1))*L475*12</f>
        <v>#REF!</v>
      </c>
      <c r="V475" s="638">
        <f t="shared" si="166"/>
        <v>0</v>
      </c>
      <c r="W475" s="669" t="e">
        <f>$AP$6*(1-AM$28)*((1+HLOOKUP($A$456,FC_Premissas!$D$5:$W$16,14,FALSE))^0.0833-1)*M475*12</f>
        <v>#REF!</v>
      </c>
      <c r="X475" s="637">
        <f t="shared" si="167"/>
        <v>0</v>
      </c>
      <c r="Y475" s="640" t="e">
        <f>$AX$6*(1-AU$28)*((1+HLOOKUP($A$456,FC_Premissas!$D$5:$W$16,14,FALSE))^0.0833-1)*N475*12</f>
        <v>#REF!</v>
      </c>
      <c r="Z475" s="638">
        <f t="shared" si="164"/>
        <v>0</v>
      </c>
      <c r="AA475" s="640" t="e">
        <f t="shared" si="164"/>
        <v>#REF!</v>
      </c>
      <c r="AB475" s="641"/>
    </row>
    <row r="476" spans="1:28" hidden="1" x14ac:dyDescent="0.2">
      <c r="A476" s="984"/>
      <c r="B476" s="633">
        <v>18</v>
      </c>
      <c r="C476" s="634">
        <f>IF(A456&lt;=$F$3,L450,0)</f>
        <v>0</v>
      </c>
      <c r="D476" s="598">
        <f>IF(A456&lt;=$F$3,M450,0)</f>
        <v>0</v>
      </c>
      <c r="E476" s="650">
        <f>IF(A456&lt;=$F$3,N450,0)</f>
        <v>0</v>
      </c>
      <c r="F476" s="634"/>
      <c r="G476" s="598"/>
      <c r="H476" s="598"/>
      <c r="I476" s="634"/>
      <c r="J476" s="598"/>
      <c r="K476" s="598"/>
      <c r="L476" s="634">
        <f>IF(A456&lt;=$F$3,C476+F476-I476,0)</f>
        <v>0</v>
      </c>
      <c r="M476" s="598">
        <f>IF(A456&lt;=$F$3,D476+G476-J476,0)</f>
        <v>0</v>
      </c>
      <c r="N476" s="598">
        <f>IF(A456&lt;=$F$3,E476+H476-K476,0)</f>
        <v>0</v>
      </c>
      <c r="O476" s="635">
        <f>IF(A456&lt;=$F$3,F476*Q476+G476*R476+H476*S476,0)</f>
        <v>0</v>
      </c>
      <c r="P476" s="636">
        <f>IF(A456&lt;=$F$3,I476*Q476+J476*R476+K476*S476,0)</f>
        <v>0</v>
      </c>
      <c r="Q476" s="637">
        <f t="shared" si="168"/>
        <v>52550.000000000044</v>
      </c>
      <c r="R476" s="638">
        <f t="shared" si="168"/>
        <v>81020.160000000062</v>
      </c>
      <c r="S476" s="639">
        <f t="shared" si="168"/>
        <v>84960.160000000062</v>
      </c>
      <c r="T476" s="637">
        <f t="shared" si="165"/>
        <v>0</v>
      </c>
      <c r="U476" s="640" t="e">
        <f>$AH$6*(1-AE$29)*((1+HLOOKUP($A$456,FC_Premissas!$D$5:$W$16,14,FALSE)^0.0833-1))*L476*12</f>
        <v>#REF!</v>
      </c>
      <c r="V476" s="638">
        <f t="shared" si="166"/>
        <v>0</v>
      </c>
      <c r="W476" s="669" t="e">
        <f>$AP$6*(1-AM$29)*((1+HLOOKUP($A$456,FC_Premissas!$D$5:$W$16,14,FALSE))^0.0833-1)*M476*12</f>
        <v>#REF!</v>
      </c>
      <c r="X476" s="637">
        <f t="shared" si="167"/>
        <v>0</v>
      </c>
      <c r="Y476" s="640" t="e">
        <f>$AX$6*(1-AU$29)*((1+HLOOKUP($A$456,FC_Premissas!$D$5:$W$16,14,FALSE))^0.0833-1)*N476*12</f>
        <v>#REF!</v>
      </c>
      <c r="Z476" s="638">
        <f t="shared" si="164"/>
        <v>0</v>
      </c>
      <c r="AA476" s="640" t="e">
        <f t="shared" si="164"/>
        <v>#REF!</v>
      </c>
      <c r="AB476" s="641"/>
    </row>
    <row r="477" spans="1:28" hidden="1" x14ac:dyDescent="0.2">
      <c r="A477" s="984"/>
      <c r="B477" s="633">
        <v>19</v>
      </c>
      <c r="C477" s="634">
        <f>IF(A456&lt;=$F$3,L451,0)</f>
        <v>0</v>
      </c>
      <c r="D477" s="598">
        <f>IF(A456&lt;=$F$3,M451,0)</f>
        <v>0</v>
      </c>
      <c r="E477" s="650">
        <f>IF(A456&lt;=$F$3,N451,0)</f>
        <v>0</v>
      </c>
      <c r="F477" s="634"/>
      <c r="G477" s="598"/>
      <c r="H477" s="598"/>
      <c r="I477" s="634"/>
      <c r="J477" s="598"/>
      <c r="K477" s="598"/>
      <c r="L477" s="634">
        <f>IF(A456&lt;=$F$3,C477+F477-I477,0)</f>
        <v>0</v>
      </c>
      <c r="M477" s="598">
        <f>IF(A456&lt;=$F$3,D477+G477-J477,0)</f>
        <v>0</v>
      </c>
      <c r="N477" s="598">
        <f>IF(A456&lt;=$F$3,E477+H477-K477,0)</f>
        <v>0</v>
      </c>
      <c r="O477" s="635">
        <f>IF(A456&lt;=$F$3,F477*Q477+G477*R477+H477*S477,0)</f>
        <v>0</v>
      </c>
      <c r="P477" s="636">
        <f>IF(A456&lt;=$F$3,I477*Q477+J477*R477+K477*S477,0)</f>
        <v>0</v>
      </c>
      <c r="Q477" s="637">
        <f t="shared" si="168"/>
        <v>52550.000000000044</v>
      </c>
      <c r="R477" s="638">
        <f t="shared" si="168"/>
        <v>81020.160000000062</v>
      </c>
      <c r="S477" s="639">
        <f t="shared" si="168"/>
        <v>84960.160000000062</v>
      </c>
      <c r="T477" s="637">
        <f t="shared" si="165"/>
        <v>0</v>
      </c>
      <c r="U477" s="640" t="e">
        <f>$AH$6*(1-AE$30)*((1+HLOOKUP($A$456,FC_Premissas!$D$5:$W$16,14,FALSE)^0.0833-1))*L477*12</f>
        <v>#REF!</v>
      </c>
      <c r="V477" s="638">
        <f t="shared" si="166"/>
        <v>0</v>
      </c>
      <c r="W477" s="669" t="e">
        <f>$AP$6*(1-AM$30)*((1+HLOOKUP($A$456,FC_Premissas!$D$5:$W$16,14,FALSE))^0.0833-1)*M477*12</f>
        <v>#REF!</v>
      </c>
      <c r="X477" s="637">
        <f t="shared" si="167"/>
        <v>0</v>
      </c>
      <c r="Y477" s="640" t="e">
        <f>$AX$6*(1-AU$30)*((1+HLOOKUP($A$456,FC_Premissas!$D$5:$W$16,14,FALSE))^0.0833-1)*N477*12</f>
        <v>#REF!</v>
      </c>
      <c r="Z477" s="638">
        <f t="shared" si="164"/>
        <v>0</v>
      </c>
      <c r="AA477" s="640" t="e">
        <f t="shared" si="164"/>
        <v>#REF!</v>
      </c>
      <c r="AB477" s="641"/>
    </row>
    <row r="478" spans="1:28" hidden="1" x14ac:dyDescent="0.2">
      <c r="A478" s="984"/>
      <c r="B478" s="633">
        <v>20</v>
      </c>
      <c r="C478" s="616">
        <f>IF(A456&lt;=$F$3,L452,0)</f>
        <v>0</v>
      </c>
      <c r="D478" s="617">
        <f>IF(A456&lt;=$F$3,M452,0)</f>
        <v>0</v>
      </c>
      <c r="E478" s="650">
        <f>IF(A456&lt;=$F$3,N452,0)</f>
        <v>0</v>
      </c>
      <c r="F478" s="616"/>
      <c r="G478" s="617"/>
      <c r="H478" s="598"/>
      <c r="I478" s="616"/>
      <c r="J478" s="617"/>
      <c r="K478" s="598"/>
      <c r="L478" s="616">
        <f>IF(A456&lt;=$F$3,C478+F478-I478,0)</f>
        <v>0</v>
      </c>
      <c r="M478" s="617">
        <f>IF(A456&lt;=$F$3,D478+G478-J478,0)</f>
        <v>0</v>
      </c>
      <c r="N478" s="598">
        <f>IF(A456&lt;=$F$3,E478+H478-K478,0)</f>
        <v>0</v>
      </c>
      <c r="O478" s="635">
        <f>IF(A456&lt;=$F$3,F478*Q478+G478*R478+H478*S478,0)</f>
        <v>0</v>
      </c>
      <c r="P478" s="636">
        <f>IF(A456&lt;=$F$3,I478*Q478+J478*R478+K478*S478,0)</f>
        <v>0</v>
      </c>
      <c r="Q478" s="651">
        <f t="shared" si="168"/>
        <v>52550.000000000044</v>
      </c>
      <c r="R478" s="652">
        <f t="shared" si="168"/>
        <v>81020.160000000062</v>
      </c>
      <c r="S478" s="653">
        <f t="shared" si="168"/>
        <v>84960.160000000062</v>
      </c>
      <c r="T478" s="651">
        <f t="shared" si="165"/>
        <v>0</v>
      </c>
      <c r="U478" s="654" t="e">
        <f>$AH$6*(1-AE$31)*((1+HLOOKUP($A$456,FC_Premissas!$D$5:$W$16,14,FALSE)^0.0833-1))*L478*12</f>
        <v>#REF!</v>
      </c>
      <c r="V478" s="652">
        <f t="shared" si="166"/>
        <v>0</v>
      </c>
      <c r="W478" s="678" t="e">
        <f>$AP$6*(1-AM$31)*((1+HLOOKUP($A$456,FC_Premissas!$D$5:$W$16,14,FALSE))^0.0833-1)*M478*12</f>
        <v>#REF!</v>
      </c>
      <c r="X478" s="651">
        <f t="shared" si="167"/>
        <v>0</v>
      </c>
      <c r="Y478" s="654" t="e">
        <f>$AX$6*(1-AU$31)*((1+HLOOKUP($A$456,FC_Premissas!$D$5:$W$16,14,FALSE))^0.0833-1)*N478*12</f>
        <v>#REF!</v>
      </c>
      <c r="Z478" s="652">
        <f t="shared" si="164"/>
        <v>0</v>
      </c>
      <c r="AA478" s="654" t="e">
        <f t="shared" si="164"/>
        <v>#REF!</v>
      </c>
      <c r="AB478" s="641"/>
    </row>
    <row r="479" spans="1:28" hidden="1" x14ac:dyDescent="0.2">
      <c r="A479" s="984"/>
      <c r="B479" s="655" t="s">
        <v>1228</v>
      </c>
      <c r="C479" s="656">
        <f t="shared" ref="C479:P479" si="169">SUM(C458:C478)</f>
        <v>0</v>
      </c>
      <c r="D479" s="657">
        <f t="shared" si="169"/>
        <v>0</v>
      </c>
      <c r="E479" s="658">
        <f t="shared" si="169"/>
        <v>0</v>
      </c>
      <c r="F479" s="656">
        <f t="shared" si="169"/>
        <v>0</v>
      </c>
      <c r="G479" s="657">
        <f t="shared" si="169"/>
        <v>0</v>
      </c>
      <c r="H479" s="658">
        <f t="shared" si="169"/>
        <v>0</v>
      </c>
      <c r="I479" s="656">
        <f t="shared" si="169"/>
        <v>0</v>
      </c>
      <c r="J479" s="657">
        <f t="shared" si="169"/>
        <v>0</v>
      </c>
      <c r="K479" s="658">
        <f t="shared" si="169"/>
        <v>0</v>
      </c>
      <c r="L479" s="656">
        <f t="shared" si="169"/>
        <v>0</v>
      </c>
      <c r="M479" s="657">
        <f t="shared" si="169"/>
        <v>0</v>
      </c>
      <c r="N479" s="657">
        <f t="shared" si="169"/>
        <v>0</v>
      </c>
      <c r="O479" s="659">
        <f t="shared" si="169"/>
        <v>0</v>
      </c>
      <c r="P479" s="660">
        <f t="shared" si="169"/>
        <v>0</v>
      </c>
      <c r="Q479" s="638"/>
      <c r="R479" s="638"/>
      <c r="S479" s="638"/>
      <c r="T479" s="661">
        <f t="shared" ref="T479:AA479" si="170">SUM(T458:T478)</f>
        <v>0</v>
      </c>
      <c r="U479" s="662" t="e">
        <f t="shared" si="170"/>
        <v>#REF!</v>
      </c>
      <c r="V479" s="663">
        <f t="shared" si="170"/>
        <v>0</v>
      </c>
      <c r="W479" s="662" t="e">
        <f t="shared" si="170"/>
        <v>#REF!</v>
      </c>
      <c r="X479" s="663">
        <f t="shared" si="170"/>
        <v>0</v>
      </c>
      <c r="Y479" s="662" t="e">
        <f t="shared" si="170"/>
        <v>#REF!</v>
      </c>
      <c r="Z479" s="663">
        <f t="shared" si="170"/>
        <v>0</v>
      </c>
      <c r="AA479" s="664" t="e">
        <f t="shared" si="170"/>
        <v>#REF!</v>
      </c>
      <c r="AB479" s="641"/>
    </row>
    <row r="480" spans="1:28" hidden="1" x14ac:dyDescent="0.2">
      <c r="A480" s="985"/>
      <c r="B480" s="977" t="s">
        <v>1229</v>
      </c>
      <c r="C480" s="977"/>
      <c r="D480" s="977"/>
      <c r="E480" s="666" t="e">
        <f>(L480*L479+M480*M479+N480*N479)/(L479+M479+N479)</f>
        <v>#DIV/0!</v>
      </c>
      <c r="F480" s="665" t="s">
        <v>140</v>
      </c>
      <c r="G480" s="665"/>
      <c r="H480" s="665"/>
      <c r="I480" s="665"/>
      <c r="J480" s="665"/>
      <c r="K480" s="665"/>
      <c r="L480" s="887">
        <f>IF(L479=0,0,(SUMPRODUCT(L458:L478,$B458:$B478)/L479))</f>
        <v>0</v>
      </c>
      <c r="M480" s="887">
        <f>IF(M479=0,0,(SUMPRODUCT(M458:M478,$B458:$B478)/M479))</f>
        <v>0</v>
      </c>
      <c r="N480" s="887">
        <f>IF(N479=0,0,ROUND(SUMPRODUCT(N458:N478,$B458:$B478)/N479,0))</f>
        <v>0</v>
      </c>
      <c r="O480" s="667"/>
      <c r="P480" s="668"/>
      <c r="Q480" s="638"/>
      <c r="R480" s="638"/>
      <c r="S480" s="638"/>
      <c r="T480" s="638"/>
      <c r="U480" s="669"/>
      <c r="V480" s="638"/>
      <c r="W480" s="669"/>
      <c r="X480" s="638"/>
      <c r="Y480" s="669"/>
      <c r="Z480" s="638"/>
      <c r="AA480" s="669"/>
    </row>
    <row r="481" spans="1:28" ht="12.75" hidden="1" customHeight="1" x14ac:dyDescent="0.2">
      <c r="A481" s="983">
        <f>A456+1</f>
        <v>20</v>
      </c>
      <c r="B481" s="986" t="s">
        <v>1077</v>
      </c>
      <c r="C481" s="988" t="s">
        <v>1202</v>
      </c>
      <c r="D481" s="989"/>
      <c r="E481" s="990"/>
      <c r="F481" s="991" t="s">
        <v>1203</v>
      </c>
      <c r="G481" s="992"/>
      <c r="H481" s="993"/>
      <c r="I481" s="991" t="s">
        <v>1204</v>
      </c>
      <c r="J481" s="992"/>
      <c r="K481" s="993"/>
      <c r="L481" s="991" t="s">
        <v>1205</v>
      </c>
      <c r="M481" s="992"/>
      <c r="N481" s="992"/>
      <c r="O481" s="978" t="s">
        <v>1206</v>
      </c>
      <c r="P481" s="979"/>
      <c r="Q481" s="980" t="s">
        <v>1207</v>
      </c>
      <c r="R481" s="981"/>
      <c r="S481" s="982"/>
      <c r="T481" s="607" t="s">
        <v>1208</v>
      </c>
      <c r="U481" s="609" t="s">
        <v>1209</v>
      </c>
      <c r="V481" s="608" t="s">
        <v>1210</v>
      </c>
      <c r="W481" s="610" t="s">
        <v>1211</v>
      </c>
      <c r="X481" s="607" t="s">
        <v>1210</v>
      </c>
      <c r="Y481" s="609" t="s">
        <v>1211</v>
      </c>
      <c r="Z481" s="607" t="s">
        <v>1210</v>
      </c>
      <c r="AA481" s="609" t="s">
        <v>1211</v>
      </c>
    </row>
    <row r="482" spans="1:28" hidden="1" x14ac:dyDescent="0.2">
      <c r="A482" s="984"/>
      <c r="B482" s="987"/>
      <c r="C482" s="616" t="str">
        <f>$C$7</f>
        <v>Mini</v>
      </c>
      <c r="D482" s="617" t="str">
        <f>$D$7</f>
        <v>Midi</v>
      </c>
      <c r="E482" s="617" t="str">
        <f>$E$7</f>
        <v>Básico</v>
      </c>
      <c r="F482" s="616" t="str">
        <f>$C$7</f>
        <v>Mini</v>
      </c>
      <c r="G482" s="617" t="str">
        <f>$D$7</f>
        <v>Midi</v>
      </c>
      <c r="H482" s="617" t="str">
        <f>$E$7</f>
        <v>Básico</v>
      </c>
      <c r="I482" s="616" t="str">
        <f>$C$7</f>
        <v>Mini</v>
      </c>
      <c r="J482" s="617" t="str">
        <f>$D$7</f>
        <v>Midi</v>
      </c>
      <c r="K482" s="617" t="str">
        <f>$E$7</f>
        <v>Básico</v>
      </c>
      <c r="L482" s="616" t="str">
        <f>$C$7</f>
        <v>Mini</v>
      </c>
      <c r="M482" s="617" t="str">
        <f>$D$7</f>
        <v>Midi</v>
      </c>
      <c r="N482" s="617" t="str">
        <f>$E$7</f>
        <v>Básico</v>
      </c>
      <c r="O482" s="667" t="s">
        <v>1203</v>
      </c>
      <c r="P482" s="668" t="s">
        <v>1204</v>
      </c>
      <c r="Q482" s="620" t="str">
        <f>C482</f>
        <v>Mini</v>
      </c>
      <c r="R482" s="621" t="str">
        <f>D482</f>
        <v>Midi</v>
      </c>
      <c r="S482" s="622" t="str">
        <f>E482</f>
        <v>Básico</v>
      </c>
      <c r="T482" s="623" t="str">
        <f>C482</f>
        <v>Mini</v>
      </c>
      <c r="U482" s="624" t="str">
        <f>C482</f>
        <v>Mini</v>
      </c>
      <c r="V482" s="625" t="str">
        <f>D482</f>
        <v>Midi</v>
      </c>
      <c r="W482" s="626" t="str">
        <f>D482</f>
        <v>Midi</v>
      </c>
      <c r="X482" s="623" t="str">
        <f>E482</f>
        <v>Básico</v>
      </c>
      <c r="Y482" s="624" t="str">
        <f>E482</f>
        <v>Básico</v>
      </c>
      <c r="Z482" s="627" t="s">
        <v>1218</v>
      </c>
      <c r="AA482" s="628" t="s">
        <v>1218</v>
      </c>
    </row>
    <row r="483" spans="1:28" hidden="1" x14ac:dyDescent="0.2">
      <c r="A483" s="984"/>
      <c r="B483" s="633">
        <v>0</v>
      </c>
      <c r="C483" s="634">
        <v>0</v>
      </c>
      <c r="F483" s="679"/>
      <c r="G483" s="680"/>
      <c r="H483" s="680"/>
      <c r="I483" s="679"/>
      <c r="J483" s="680"/>
      <c r="K483" s="680"/>
      <c r="L483" s="634">
        <f>IF(A481&lt;=$F$3,C483+F483-I483,0)</f>
        <v>0</v>
      </c>
      <c r="M483" s="598">
        <f>IF(A481&lt;=$F$3,D483+G483-J483,0)</f>
        <v>0</v>
      </c>
      <c r="N483" s="598">
        <f>IF(A481&lt;=$F$3,E483+H483-K483,0)</f>
        <v>0</v>
      </c>
      <c r="O483" s="635">
        <f>IF(A481&lt;=$F$3,F483*Q483+G483*R483+H483*S483,0)</f>
        <v>0</v>
      </c>
      <c r="P483" s="636">
        <f>IF(A481&lt;=$F$3,I483*Q483+J483*R483+K483*S483,0)</f>
        <v>0</v>
      </c>
      <c r="Q483" s="637">
        <f t="shared" ref="Q483:S498" si="171">Q458</f>
        <v>525500</v>
      </c>
      <c r="R483" s="638">
        <f t="shared" si="171"/>
        <v>703800</v>
      </c>
      <c r="S483" s="639">
        <f t="shared" si="171"/>
        <v>743200</v>
      </c>
      <c r="T483" s="637">
        <f>L483*$AH$6*AD$12</f>
        <v>0</v>
      </c>
      <c r="U483" s="640" t="e">
        <f>$AH$6*(1-AE$11)*((1+HLOOKUP($A$481,FC_Premissas!$D$5:$W$16,14,FALSE)^0.0833-1))*L483*12</f>
        <v>#REF!</v>
      </c>
      <c r="V483" s="638">
        <f>M483*$AP$6*AL$12</f>
        <v>0</v>
      </c>
      <c r="W483" s="669" t="e">
        <f>$AP$6*(1-AM$11)*((1+HLOOKUP($A$481,FC_Premissas!$D$5:$W$16,14,FALSE)^0.0833-1))*M483*12</f>
        <v>#REF!</v>
      </c>
      <c r="X483" s="637">
        <f>N483*$AX$6*AT$12</f>
        <v>0</v>
      </c>
      <c r="Y483" s="640" t="e">
        <f>$AX$6*(1-AU$11)*((1+HLOOKUP($A$481,FC_Premissas!$D$5:$W$16,14,FALSE)^0.0833-1))*N483*12</f>
        <v>#REF!</v>
      </c>
      <c r="Z483" s="638">
        <f t="shared" ref="Z483:AA503" si="172">T483+V483+X483</f>
        <v>0</v>
      </c>
      <c r="AA483" s="669" t="e">
        <f t="shared" si="172"/>
        <v>#REF!</v>
      </c>
      <c r="AB483" s="641"/>
    </row>
    <row r="484" spans="1:28" hidden="1" x14ac:dyDescent="0.2">
      <c r="A484" s="984"/>
      <c r="B484" s="633">
        <v>1</v>
      </c>
      <c r="C484" s="634">
        <f>IF(A481&lt;=$F$3,L458,0)</f>
        <v>0</v>
      </c>
      <c r="D484" s="598">
        <f>IF(A481&lt;=$F$3,M458,0)</f>
        <v>0</v>
      </c>
      <c r="E484" s="598">
        <f>IF(A481&lt;=$F$3,N458,0)</f>
        <v>0</v>
      </c>
      <c r="F484" s="679"/>
      <c r="G484" s="680"/>
      <c r="H484" s="680"/>
      <c r="I484" s="681"/>
      <c r="J484" s="680"/>
      <c r="K484" s="680"/>
      <c r="L484" s="634">
        <f>IF(A481&lt;=$F$3,C484+F484-I484,0)</f>
        <v>0</v>
      </c>
      <c r="M484" s="598">
        <f>IF(A481&lt;=$F$3,D484+G484-J484,0)</f>
        <v>0</v>
      </c>
      <c r="N484" s="598">
        <f>IF(A481&lt;=$F$3,E484+H484-K484,0)</f>
        <v>0</v>
      </c>
      <c r="O484" s="635">
        <f>IF(A481&lt;=$F$3,F484*Q484+G484*R484+H484*S484,0)</f>
        <v>0</v>
      </c>
      <c r="P484" s="636">
        <f>IF(A481&lt;=$F$3,I484*Q484+J484*R484+K484*S484,0)</f>
        <v>0</v>
      </c>
      <c r="Q484" s="637">
        <f t="shared" si="171"/>
        <v>439509.09090909094</v>
      </c>
      <c r="R484" s="638">
        <f t="shared" si="171"/>
        <v>590567.30181818188</v>
      </c>
      <c r="S484" s="639">
        <f t="shared" si="171"/>
        <v>623520.02909090917</v>
      </c>
      <c r="T484" s="637">
        <f>L484*$AH$6*AD$13</f>
        <v>0</v>
      </c>
      <c r="U484" s="640" t="e">
        <f>$AH$6*(1-AE$12)*((1+HLOOKUP($A$481,FC_Premissas!$D$5:$W$16,14,FALSE)^0.0833-1))*L484*12</f>
        <v>#REF!</v>
      </c>
      <c r="V484" s="638">
        <f>M484*$AP$6*AL$13</f>
        <v>0</v>
      </c>
      <c r="W484" s="669" t="e">
        <f>$AP$6*(1-AM$12)*((1+HLOOKUP($A$481,FC_Premissas!$D$5:$W$16,14,FALSE))^0.0833-1)*M484*12</f>
        <v>#REF!</v>
      </c>
      <c r="X484" s="637">
        <f>N484*$AX$6*AT$13</f>
        <v>0</v>
      </c>
      <c r="Y484" s="640" t="e">
        <f>$AX$6*(1-AU$12)*((1+HLOOKUP($A$481,FC_Premissas!$D$5:$W$16,14,FALSE))^0.0833-1)*N484*12</f>
        <v>#REF!</v>
      </c>
      <c r="Z484" s="638">
        <f t="shared" si="172"/>
        <v>0</v>
      </c>
      <c r="AA484" s="669" t="e">
        <f t="shared" si="172"/>
        <v>#REF!</v>
      </c>
      <c r="AB484" s="641"/>
    </row>
    <row r="485" spans="1:28" hidden="1" x14ac:dyDescent="0.2">
      <c r="A485" s="984"/>
      <c r="B485" s="633">
        <v>2</v>
      </c>
      <c r="C485" s="634">
        <f>IF(A481&lt;=$F$3,L459,0)</f>
        <v>0</v>
      </c>
      <c r="D485" s="598">
        <f>IF(A481&lt;=$F$3,M459,0)</f>
        <v>0</v>
      </c>
      <c r="E485" s="598">
        <f>IF(A481&lt;=$F$3,N459,0)</f>
        <v>0</v>
      </c>
      <c r="F485" s="679"/>
      <c r="G485" s="680"/>
      <c r="H485" s="680"/>
      <c r="I485" s="679"/>
      <c r="J485" s="680"/>
      <c r="K485" s="680"/>
      <c r="L485" s="634">
        <f>IF(A481&lt;=$F$3,C485+F485-I485,0)</f>
        <v>0</v>
      </c>
      <c r="M485" s="598">
        <f>IF(A481&lt;=$F$3,D485+G485-J485,0)</f>
        <v>0</v>
      </c>
      <c r="N485" s="598">
        <f>IF(A481&lt;=$F$3,E485+H485-K485,0)</f>
        <v>0</v>
      </c>
      <c r="O485" s="635">
        <f>IF(A481&lt;=$F$3,F485*Q485+G485*R485+H485*S485,0)</f>
        <v>0</v>
      </c>
      <c r="P485" s="636">
        <f>IF(A481&lt;=$F$3,I485*Q485+J485*R485+K485*S485,0)</f>
        <v>0</v>
      </c>
      <c r="Q485" s="637">
        <f t="shared" si="171"/>
        <v>362117.27272727271</v>
      </c>
      <c r="R485" s="638">
        <f t="shared" si="171"/>
        <v>488657.87345454545</v>
      </c>
      <c r="S485" s="639">
        <f t="shared" si="171"/>
        <v>515808.05527272727</v>
      </c>
      <c r="T485" s="637">
        <f>L485*$AH$6*AD$14</f>
        <v>0</v>
      </c>
      <c r="U485" s="640" t="e">
        <f>$AH$6*(1-AE$13)*((1+HLOOKUP($A$481,FC_Premissas!$D$5:$W$16,14,FALSE)^0.0833-1))*L485*12</f>
        <v>#REF!</v>
      </c>
      <c r="V485" s="638">
        <f>M485*$AP$6*AL$14</f>
        <v>0</v>
      </c>
      <c r="W485" s="669" t="e">
        <f>$AP$6*(1-AM$13)*((1+HLOOKUP($A$481,FC_Premissas!$D$5:$W$16,14,FALSE))^0.0833-1)*M485*12</f>
        <v>#REF!</v>
      </c>
      <c r="X485" s="637">
        <f>N485*$AX$6*AT$14</f>
        <v>0</v>
      </c>
      <c r="Y485" s="640" t="e">
        <f>$AX$6*(1-AU$13)*((1+HLOOKUP($A$481,FC_Premissas!$D$5:$W$16,14,FALSE))^0.0833-1)*N485*12</f>
        <v>#REF!</v>
      </c>
      <c r="Z485" s="638">
        <f t="shared" si="172"/>
        <v>0</v>
      </c>
      <c r="AA485" s="669" t="e">
        <f t="shared" si="172"/>
        <v>#REF!</v>
      </c>
      <c r="AB485" s="641"/>
    </row>
    <row r="486" spans="1:28" hidden="1" x14ac:dyDescent="0.2">
      <c r="A486" s="984"/>
      <c r="B486" s="633">
        <v>3</v>
      </c>
      <c r="C486" s="634">
        <f>IF(A481&lt;=$F$3,L460,0)</f>
        <v>0</v>
      </c>
      <c r="D486" s="598">
        <f>IF(A481&lt;=$F$3,M460,0)</f>
        <v>0</v>
      </c>
      <c r="E486" s="598">
        <f>IF(A481&lt;=$F$3,N460,0)</f>
        <v>0</v>
      </c>
      <c r="F486" s="679"/>
      <c r="G486" s="680"/>
      <c r="H486" s="680"/>
      <c r="I486" s="679"/>
      <c r="J486" s="680"/>
      <c r="K486" s="680"/>
      <c r="L486" s="634">
        <f>IF(A481&lt;=$F$3,C486+F486-I486,0)</f>
        <v>0</v>
      </c>
      <c r="M486" s="598">
        <f>IF(A481&lt;=$F$3,D486+G486-J486,0)</f>
        <v>0</v>
      </c>
      <c r="N486" s="598">
        <f>IF(A481&lt;=$F$3,E486+H486-K486,0)</f>
        <v>0</v>
      </c>
      <c r="O486" s="635">
        <f>IF(A481&lt;=$F$3,F486*Q486+G486*R486+H486*S486,0)</f>
        <v>0</v>
      </c>
      <c r="P486" s="636">
        <f>IF(A481&lt;=$F$3,I486*Q486+J486*R486+K486*S486,0)</f>
        <v>0</v>
      </c>
      <c r="Q486" s="637">
        <f t="shared" si="171"/>
        <v>293324.54545454541</v>
      </c>
      <c r="R486" s="638">
        <f t="shared" si="171"/>
        <v>398071.71490909089</v>
      </c>
      <c r="S486" s="639">
        <f t="shared" si="171"/>
        <v>420064.07854545448</v>
      </c>
      <c r="T486" s="637">
        <f>L486*$AH$6*AD$15</f>
        <v>0</v>
      </c>
      <c r="U486" s="640" t="e">
        <f>$AH$6*(1-AE$14)*((1+HLOOKUP($A$481,FC_Premissas!$D$5:$W$16,14,FALSE)^0.0833-1))*L486*12</f>
        <v>#REF!</v>
      </c>
      <c r="V486" s="638">
        <f>M486*$AP$6*AL$15</f>
        <v>0</v>
      </c>
      <c r="W486" s="669" t="e">
        <f>$AP$6*(1-AM$14)*((1+HLOOKUP($A$481,FC_Premissas!$D$5:$W$16,14,FALSE))^0.0833-1)*M486*12</f>
        <v>#REF!</v>
      </c>
      <c r="X486" s="637">
        <f>N486*$AX$6*AT$15</f>
        <v>0</v>
      </c>
      <c r="Y486" s="640" t="e">
        <f>$AX$6*(1-AU$14)*((1+HLOOKUP($A$481,FC_Premissas!$D$5:$W$16,14,FALSE))^0.0833-1)*N486*12</f>
        <v>#REF!</v>
      </c>
      <c r="Z486" s="638">
        <f t="shared" si="172"/>
        <v>0</v>
      </c>
      <c r="AA486" s="669" t="e">
        <f t="shared" si="172"/>
        <v>#REF!</v>
      </c>
      <c r="AB486" s="641"/>
    </row>
    <row r="487" spans="1:28" hidden="1" x14ac:dyDescent="0.2">
      <c r="A487" s="984"/>
      <c r="B487" s="633">
        <v>4</v>
      </c>
      <c r="C487" s="634">
        <f>IF(A481&lt;=$F$3,L461,0)</f>
        <v>0</v>
      </c>
      <c r="D487" s="598">
        <f>IF(A481&lt;=$F$3,M461,0)</f>
        <v>0</v>
      </c>
      <c r="E487" s="598">
        <f>IF(A481&lt;=$F$3,N461,0)</f>
        <v>0</v>
      </c>
      <c r="F487" s="679"/>
      <c r="G487" s="680"/>
      <c r="H487" s="680"/>
      <c r="I487" s="679"/>
      <c r="J487" s="680"/>
      <c r="K487" s="680"/>
      <c r="L487" s="634">
        <f>IF(A481&lt;=$F$3,C487+F487-I487,0)</f>
        <v>0</v>
      </c>
      <c r="M487" s="598">
        <f>IF(A481&lt;=$F$3,D487+G487-J487,0)</f>
        <v>0</v>
      </c>
      <c r="N487" s="598">
        <f>IF(A481&lt;=$F$3,E487+H487-K487,0)</f>
        <v>0</v>
      </c>
      <c r="O487" s="635">
        <f>IF(A481&lt;=$F$3,F487*Q487+G487*R487+H487*S487,0)</f>
        <v>0</v>
      </c>
      <c r="P487" s="636">
        <f>IF(A481&lt;=$F$3,I487*Q487+J487*R487+K487*S487,0)</f>
        <v>0</v>
      </c>
      <c r="Q487" s="637">
        <f t="shared" si="171"/>
        <v>233130.90909090909</v>
      </c>
      <c r="R487" s="638">
        <f t="shared" si="171"/>
        <v>318808.82618181815</v>
      </c>
      <c r="S487" s="639">
        <f t="shared" si="171"/>
        <v>336288.09890909091</v>
      </c>
      <c r="T487" s="637">
        <f>L487*$AH$6*AD$16</f>
        <v>0</v>
      </c>
      <c r="U487" s="640" t="e">
        <f>$AH$6*(1-AE$15)*((1+HLOOKUP($A$481,FC_Premissas!$D$5:$W$16,14,FALSE)^0.0833-1))*L487*12</f>
        <v>#REF!</v>
      </c>
      <c r="V487" s="638">
        <f>M487*$AP$6*AL$16</f>
        <v>0</v>
      </c>
      <c r="W487" s="669" t="e">
        <f>$AP$6*(1-AM$15)*((1+HLOOKUP($A$481,FC_Premissas!$D$5:$W$16,14,FALSE))^0.0833-1)*M487*12</f>
        <v>#REF!</v>
      </c>
      <c r="X487" s="637">
        <f>N487*$AX$6*AT$16</f>
        <v>0</v>
      </c>
      <c r="Y487" s="640" t="e">
        <f>$AX$6*(1-AU$15)*((1+HLOOKUP($A$481,FC_Premissas!$D$5:$W$16,14,FALSE))^0.0833-1)*N487*12</f>
        <v>#REF!</v>
      </c>
      <c r="Z487" s="638">
        <f t="shared" si="172"/>
        <v>0</v>
      </c>
      <c r="AA487" s="669" t="e">
        <f t="shared" si="172"/>
        <v>#REF!</v>
      </c>
      <c r="AB487" s="641"/>
    </row>
    <row r="488" spans="1:28" hidden="1" x14ac:dyDescent="0.2">
      <c r="A488" s="984"/>
      <c r="B488" s="633">
        <v>5</v>
      </c>
      <c r="C488" s="634">
        <f>IF(A481&lt;=$F$3,L462,0)</f>
        <v>0</v>
      </c>
      <c r="D488" s="598">
        <f>IF(A481&lt;=$F$3,M462,0)</f>
        <v>0</v>
      </c>
      <c r="E488" s="598">
        <f>IF(A481&lt;=$F$3,N462,0)</f>
        <v>0</v>
      </c>
      <c r="F488" s="679"/>
      <c r="G488" s="680"/>
      <c r="H488" s="680"/>
      <c r="I488" s="679"/>
      <c r="J488" s="680"/>
      <c r="K488" s="680"/>
      <c r="L488" s="634">
        <f>IF(A481&lt;=$F$3,C488+F488-I488,0)</f>
        <v>0</v>
      </c>
      <c r="M488" s="598">
        <f>IF(A481&lt;=$F$3,D488+G488-J488,0)</f>
        <v>0</v>
      </c>
      <c r="N488" s="598">
        <f>IF(A481&lt;=$F$3,E488+H488-K488,0)</f>
        <v>0</v>
      </c>
      <c r="O488" s="635">
        <f>IF(A481&lt;=$F$3,F488*Q488+G488*R488+H488*S488,0)</f>
        <v>0</v>
      </c>
      <c r="P488" s="636">
        <f>IF(A481&lt;=$F$3,I488*Q488+J488*R488+K488*S488,0)</f>
        <v>0</v>
      </c>
      <c r="Q488" s="637">
        <f t="shared" si="171"/>
        <v>181536.36363636365</v>
      </c>
      <c r="R488" s="638">
        <f t="shared" si="171"/>
        <v>250869.20727272728</v>
      </c>
      <c r="S488" s="639">
        <f t="shared" si="171"/>
        <v>264480.11636363639</v>
      </c>
      <c r="T488" s="637">
        <f>L488*$AH$6*AD$17</f>
        <v>0</v>
      </c>
      <c r="U488" s="640" t="e">
        <f>$AH$6*(1-AE$16)*((1+HLOOKUP($A$481,FC_Premissas!$D$5:$W$16,14,FALSE)^0.0833-1))*L488*12</f>
        <v>#REF!</v>
      </c>
      <c r="V488" s="638">
        <f>M488*$AP$6*AL$17</f>
        <v>0</v>
      </c>
      <c r="W488" s="669" t="e">
        <f>$AP$6*(1-AM$16)*((1+HLOOKUP($A$481,FC_Premissas!$D$5:$W$16,14,FALSE))^0.0833-1)*M488*12</f>
        <v>#REF!</v>
      </c>
      <c r="X488" s="637">
        <f>N488*$AX$6*AT$17</f>
        <v>0</v>
      </c>
      <c r="Y488" s="640" t="e">
        <f>$AX$6*(1-AU$16)*((1+HLOOKUP($A$481,FC_Premissas!$D$5:$W$16,14,FALSE))^0.0833-1)*N488*12</f>
        <v>#REF!</v>
      </c>
      <c r="Z488" s="638">
        <f t="shared" si="172"/>
        <v>0</v>
      </c>
      <c r="AA488" s="669" t="e">
        <f t="shared" si="172"/>
        <v>#REF!</v>
      </c>
      <c r="AB488" s="641"/>
    </row>
    <row r="489" spans="1:28" hidden="1" x14ac:dyDescent="0.2">
      <c r="A489" s="984"/>
      <c r="B489" s="633">
        <v>6</v>
      </c>
      <c r="C489" s="634">
        <f>IF(A481&lt;=$F$3,L463,0)</f>
        <v>0</v>
      </c>
      <c r="D489" s="598">
        <f>IF(A481&lt;=$F$3,M463,0)</f>
        <v>0</v>
      </c>
      <c r="E489" s="598">
        <f>IF(A481&lt;=$F$3,N463,0)</f>
        <v>0</v>
      </c>
      <c r="F489" s="679"/>
      <c r="G489" s="680"/>
      <c r="H489" s="680"/>
      <c r="I489" s="679"/>
      <c r="J489" s="680"/>
      <c r="K489" s="680"/>
      <c r="L489" s="634">
        <f>IF(A481&lt;=$F$3,C489+F489-I489,0)</f>
        <v>0</v>
      </c>
      <c r="M489" s="598">
        <f>IF(A481&lt;=$F$3,D489+G489-J489,0)</f>
        <v>0</v>
      </c>
      <c r="N489" s="598">
        <f>IF(A481&lt;=$F$3,E489+H489-K489,0)</f>
        <v>0</v>
      </c>
      <c r="O489" s="635">
        <f>IF(A481&lt;=$F$3,F489*Q489+G489*R489+H489*S489,0)</f>
        <v>0</v>
      </c>
      <c r="P489" s="636">
        <f>IF(A481&lt;=$F$3,I489*Q489+J489*R489+K489*S489,0)</f>
        <v>0</v>
      </c>
      <c r="Q489" s="637">
        <f t="shared" si="171"/>
        <v>138540.90909090912</v>
      </c>
      <c r="R489" s="638">
        <f t="shared" si="171"/>
        <v>194252.85818181818</v>
      </c>
      <c r="S489" s="639">
        <f t="shared" si="171"/>
        <v>204640.13090909092</v>
      </c>
      <c r="T489" s="637">
        <f>L489*$AH$6*AD$18</f>
        <v>0</v>
      </c>
      <c r="U489" s="640" t="e">
        <f>$AH$6*(1-AE$17)*((1+HLOOKUP($A$481,FC_Premissas!$D$5:$W$16,14,FALSE)^0.0833-1))*L489*12</f>
        <v>#REF!</v>
      </c>
      <c r="V489" s="638">
        <f>M489*$AP$6*AL$18</f>
        <v>0</v>
      </c>
      <c r="W489" s="669" t="e">
        <f>$AP$6*(1-AM$17)*((1+HLOOKUP($A$481,FC_Premissas!$D$5:$W$16,14,FALSE))^0.0833-1)*M489*12</f>
        <v>#REF!</v>
      </c>
      <c r="X489" s="637">
        <f>N489*$AX$6*AT$18</f>
        <v>0</v>
      </c>
      <c r="Y489" s="640" t="e">
        <f>$AX$6*(1-AU$17)*((1+HLOOKUP($A$481,FC_Premissas!$D$5:$W$16,14,FALSE))^0.0833-1)*N489*12</f>
        <v>#REF!</v>
      </c>
      <c r="Z489" s="638">
        <f t="shared" si="172"/>
        <v>0</v>
      </c>
      <c r="AA489" s="669" t="e">
        <f t="shared" si="172"/>
        <v>#REF!</v>
      </c>
      <c r="AB489" s="641"/>
    </row>
    <row r="490" spans="1:28" hidden="1" x14ac:dyDescent="0.2">
      <c r="A490" s="984"/>
      <c r="B490" s="633">
        <v>7</v>
      </c>
      <c r="C490" s="634">
        <f>IF(A481&lt;=$F$3,L464,0)</f>
        <v>0</v>
      </c>
      <c r="D490" s="598">
        <f>IF(A481&lt;=$F$3,M464,0)</f>
        <v>0</v>
      </c>
      <c r="E490" s="598">
        <f>IF(A481&lt;=$F$3,N464,0)</f>
        <v>0</v>
      </c>
      <c r="F490" s="679"/>
      <c r="G490" s="680"/>
      <c r="H490" s="680"/>
      <c r="I490" s="679"/>
      <c r="J490" s="680"/>
      <c r="K490" s="680"/>
      <c r="L490" s="634">
        <f>IF(A481&lt;=$F$3,C490+F490-I490,0)</f>
        <v>0</v>
      </c>
      <c r="M490" s="598">
        <f>IF(A481&lt;=$F$3,D490+G490-J490,0)</f>
        <v>0</v>
      </c>
      <c r="N490" s="598">
        <f>IF(A481&lt;=$F$3,E490+H490-K490,0)</f>
        <v>0</v>
      </c>
      <c r="O490" s="635">
        <f>IF(A481&lt;=$F$3,F490*Q490+G490*R490+H490*S490,0)</f>
        <v>0</v>
      </c>
      <c r="P490" s="636">
        <f>IF(A481&lt;=$F$3,I490*Q490+J490*R490+K490*S490,0)</f>
        <v>0</v>
      </c>
      <c r="Q490" s="637">
        <f t="shared" si="171"/>
        <v>104144.54545454548</v>
      </c>
      <c r="R490" s="638">
        <f t="shared" si="171"/>
        <v>148959.77890909094</v>
      </c>
      <c r="S490" s="639">
        <f t="shared" si="171"/>
        <v>156768.14254545458</v>
      </c>
      <c r="T490" s="637">
        <f>L490*$AH$6*AD$19</f>
        <v>0</v>
      </c>
      <c r="U490" s="640" t="e">
        <f>$AH$6*(1-AE$18)*((1+HLOOKUP($A$481,FC_Premissas!$D$5:$W$16,14,FALSE)^0.0833-1))*L490*12</f>
        <v>#REF!</v>
      </c>
      <c r="V490" s="638">
        <f>M490*$AP$6*AL$19</f>
        <v>0</v>
      </c>
      <c r="W490" s="669" t="e">
        <f>$AP$6*(1-AM$18)*((1+HLOOKUP($A$481,FC_Premissas!$D$5:$W$16,14,FALSE))^0.0833-1)*M490*12</f>
        <v>#REF!</v>
      </c>
      <c r="X490" s="637">
        <f>N490*$AX$6*AT$19</f>
        <v>0</v>
      </c>
      <c r="Y490" s="640" t="e">
        <f>$AX$6*(1-AU$18)*((1+HLOOKUP($A$481,FC_Premissas!$D$5:$W$16,14,FALSE))^0.0833-1)*N490*12</f>
        <v>#REF!</v>
      </c>
      <c r="Z490" s="638">
        <f t="shared" si="172"/>
        <v>0</v>
      </c>
      <c r="AA490" s="669" t="e">
        <f t="shared" si="172"/>
        <v>#REF!</v>
      </c>
      <c r="AB490" s="641"/>
    </row>
    <row r="491" spans="1:28" hidden="1" x14ac:dyDescent="0.2">
      <c r="A491" s="984"/>
      <c r="B491" s="633">
        <v>8</v>
      </c>
      <c r="C491" s="634">
        <f>IF(A481&lt;=$F$3,L465,0)</f>
        <v>0</v>
      </c>
      <c r="D491" s="598">
        <f>IF(A481&lt;=$F$3,M465,0)</f>
        <v>0</v>
      </c>
      <c r="E491" s="598">
        <f>IF(A481&lt;=$F$3,N465,0)</f>
        <v>0</v>
      </c>
      <c r="F491" s="679"/>
      <c r="G491" s="680"/>
      <c r="H491" s="680"/>
      <c r="I491" s="679"/>
      <c r="J491" s="680"/>
      <c r="K491" s="680"/>
      <c r="L491" s="634">
        <f>IF(A481&lt;=$F$3,C491+F491-I491,0)</f>
        <v>0</v>
      </c>
      <c r="M491" s="598">
        <f>IF(A481&lt;=$F$3,D491+G491-J491,0)</f>
        <v>0</v>
      </c>
      <c r="N491" s="598">
        <f>IF(A481&lt;=$F$3,E491+H491-K491,0)</f>
        <v>0</v>
      </c>
      <c r="O491" s="635">
        <f>IF(A481&lt;=$F$3,F491*Q491+G491*R491+H491*S491,0)</f>
        <v>0</v>
      </c>
      <c r="P491" s="636">
        <f>IF(A481&lt;=$F$3,I491*Q491+J491*R491+K491*S491,0)</f>
        <v>0</v>
      </c>
      <c r="Q491" s="637">
        <f t="shared" si="171"/>
        <v>78347.272727272764</v>
      </c>
      <c r="R491" s="638">
        <f t="shared" si="171"/>
        <v>114989.9694545455</v>
      </c>
      <c r="S491" s="639">
        <f t="shared" si="171"/>
        <v>120864.15127272732</v>
      </c>
      <c r="T491" s="637">
        <f>L491*$AH$6*AD$20</f>
        <v>0</v>
      </c>
      <c r="U491" s="640" t="e">
        <f>$AH$6*(1-AE$19)*((1+HLOOKUP($A$481,FC_Premissas!$D$5:$W$16,14,FALSE)^0.0833-1))*L491*12</f>
        <v>#REF!</v>
      </c>
      <c r="V491" s="638">
        <f>M491*$AP$6*AL$20</f>
        <v>0</v>
      </c>
      <c r="W491" s="669" t="e">
        <f>$AP$6*(1-AM$19)*((1+HLOOKUP($A$481,FC_Premissas!$D$5:$W$16,14,FALSE))^0.0833-1)*M491*12</f>
        <v>#REF!</v>
      </c>
      <c r="X491" s="637">
        <f>N491*$AX$6*AT$20</f>
        <v>0</v>
      </c>
      <c r="Y491" s="640" t="e">
        <f>$AX$6*(1-AU$19)*((1+HLOOKUP($A$481,FC_Premissas!$D$5:$W$16,14,FALSE))^0.0833-1)*N491*12</f>
        <v>#REF!</v>
      </c>
      <c r="Z491" s="638">
        <f t="shared" si="172"/>
        <v>0</v>
      </c>
      <c r="AA491" s="669" t="e">
        <f t="shared" si="172"/>
        <v>#REF!</v>
      </c>
      <c r="AB491" s="641"/>
    </row>
    <row r="492" spans="1:28" hidden="1" x14ac:dyDescent="0.2">
      <c r="A492" s="984"/>
      <c r="B492" s="633">
        <v>9</v>
      </c>
      <c r="C492" s="634">
        <f>IF(A481&lt;=$F$3,L466,0)</f>
        <v>0</v>
      </c>
      <c r="D492" s="598">
        <f>IF(A481&lt;=$F$3,M466,0)</f>
        <v>0</v>
      </c>
      <c r="E492" s="598">
        <f>IF(A481&lt;=$F$3,N466,0)</f>
        <v>0</v>
      </c>
      <c r="F492" s="679"/>
      <c r="G492" s="680"/>
      <c r="H492" s="680"/>
      <c r="I492" s="679"/>
      <c r="J492" s="680"/>
      <c r="K492" s="680"/>
      <c r="L492" s="634">
        <f>IF(A481&lt;=$F$3,C492+F492-I492,0)</f>
        <v>0</v>
      </c>
      <c r="M492" s="598">
        <f>IF(A481&lt;=$F$3,D492+G492-J492,0)</f>
        <v>0</v>
      </c>
      <c r="N492" s="598">
        <f>IF(A481&lt;=$F$3,E492+H492-K492,0)</f>
        <v>0</v>
      </c>
      <c r="O492" s="635">
        <f>IF(A481&lt;=$F$3,F492*Q492+G492*R492+H492*S492,0)</f>
        <v>0</v>
      </c>
      <c r="P492" s="636">
        <f>IF(A481&lt;=$F$3,I492*Q492+J492*R492+K492*S492,0)</f>
        <v>0</v>
      </c>
      <c r="Q492" s="637">
        <f t="shared" si="171"/>
        <v>61149.090909090955</v>
      </c>
      <c r="R492" s="638">
        <f t="shared" si="171"/>
        <v>92343.429818181874</v>
      </c>
      <c r="S492" s="639">
        <f t="shared" si="171"/>
        <v>96928.157090909139</v>
      </c>
      <c r="T492" s="637">
        <f>L492*$AH$6*AD$21</f>
        <v>0</v>
      </c>
      <c r="U492" s="640" t="e">
        <f>$AH$6*(1-AE$20)*((1+HLOOKUP($A$481,FC_Premissas!$D$5:$W$16,14,FALSE)^0.0833-1))*L492*12</f>
        <v>#REF!</v>
      </c>
      <c r="V492" s="638">
        <f>M492*$AP$6*AL$21</f>
        <v>0</v>
      </c>
      <c r="W492" s="669" t="e">
        <f>$AP$6*(1-AM$20)*((1+HLOOKUP($A$481,FC_Premissas!$D$5:$W$16,14,FALSE))^0.0833-1)*M492*12</f>
        <v>#REF!</v>
      </c>
      <c r="X492" s="637">
        <f>N492*$AX$6*AT$21</f>
        <v>0</v>
      </c>
      <c r="Y492" s="640" t="e">
        <f>$AX$6*(1-AU$20)*((1+HLOOKUP($A$481,FC_Premissas!$D$5:$W$16,14,FALSE))^0.0833-1)*N492*12</f>
        <v>#REF!</v>
      </c>
      <c r="Z492" s="638">
        <f t="shared" si="172"/>
        <v>0</v>
      </c>
      <c r="AA492" s="669" t="e">
        <f t="shared" si="172"/>
        <v>#REF!</v>
      </c>
      <c r="AB492" s="641"/>
    </row>
    <row r="493" spans="1:28" hidden="1" x14ac:dyDescent="0.2">
      <c r="A493" s="984"/>
      <c r="B493" s="633">
        <v>10</v>
      </c>
      <c r="C493" s="634">
        <f>IF(A481&lt;=$F$3,L467,0)</f>
        <v>0</v>
      </c>
      <c r="D493" s="598">
        <f>IF(A481&lt;=$F$3,M467,0)</f>
        <v>0</v>
      </c>
      <c r="E493" s="598">
        <f>IF(A481&lt;=$F$3,N467,0)</f>
        <v>0</v>
      </c>
      <c r="F493" s="679"/>
      <c r="G493" s="680"/>
      <c r="H493" s="680"/>
      <c r="I493" s="679"/>
      <c r="J493" s="680"/>
      <c r="K493" s="680"/>
      <c r="L493" s="634">
        <f>IF(A481&lt;=$F$3,C493+F493-I493,0)</f>
        <v>0</v>
      </c>
      <c r="M493" s="598">
        <f>IF(A481&lt;=$F$3,D493+G493-J493,0)</f>
        <v>0</v>
      </c>
      <c r="N493" s="598">
        <f>IF(A481&lt;=$F$3,E493+H493-K493,0)</f>
        <v>0</v>
      </c>
      <c r="O493" s="635">
        <f>IF(A481&lt;=$F$3,F493*Q493+G493*R493+H493*S493,0)</f>
        <v>0</v>
      </c>
      <c r="P493" s="636">
        <f>IF(A481&lt;=$F$3,I493*Q493+J493*R493+K493*S493,0)</f>
        <v>0</v>
      </c>
      <c r="Q493" s="637">
        <f t="shared" si="171"/>
        <v>52550.000000000044</v>
      </c>
      <c r="R493" s="638">
        <f t="shared" si="171"/>
        <v>81020.160000000062</v>
      </c>
      <c r="S493" s="639">
        <f t="shared" si="171"/>
        <v>84960.160000000062</v>
      </c>
      <c r="T493" s="637">
        <f>L493*$AH$6*AD$22</f>
        <v>0</v>
      </c>
      <c r="U493" s="640" t="e">
        <f>$AH$6*(1-AE$21)*((1+HLOOKUP($A$481,FC_Premissas!$D$5:$W$16,14,FALSE)^0.0833-1))*L493*12</f>
        <v>#REF!</v>
      </c>
      <c r="V493" s="638">
        <f>M493*$AP$6*AL$22</f>
        <v>0</v>
      </c>
      <c r="W493" s="669" t="e">
        <f>$AP$6*(1-AM$21)*((1+HLOOKUP($A$481,FC_Premissas!$D$5:$W$16,14,FALSE))^0.0833-1)*M493*12</f>
        <v>#REF!</v>
      </c>
      <c r="X493" s="637">
        <f>N493*$AX$6*AT$22</f>
        <v>0</v>
      </c>
      <c r="Y493" s="640" t="e">
        <f>$AX$6*(1-AU$21)*((1+HLOOKUP($A$481,FC_Premissas!$D$5:$W$16,14,FALSE))^0.0833-1)*N493*12</f>
        <v>#REF!</v>
      </c>
      <c r="Z493" s="638">
        <f t="shared" si="172"/>
        <v>0</v>
      </c>
      <c r="AA493" s="669" t="e">
        <f t="shared" si="172"/>
        <v>#REF!</v>
      </c>
      <c r="AB493" s="641"/>
    </row>
    <row r="494" spans="1:28" hidden="1" x14ac:dyDescent="0.2">
      <c r="A494" s="984"/>
      <c r="B494" s="633">
        <v>11</v>
      </c>
      <c r="C494" s="634">
        <f>IF(A481&lt;=$F$3,L468,0)</f>
        <v>0</v>
      </c>
      <c r="D494" s="598">
        <f>IF(A481&lt;=$F$3,M468,0)</f>
        <v>0</v>
      </c>
      <c r="E494" s="598">
        <f>IF(A481&lt;=$F$3,N468,0)</f>
        <v>0</v>
      </c>
      <c r="F494" s="679"/>
      <c r="G494" s="680"/>
      <c r="H494" s="680"/>
      <c r="I494" s="679"/>
      <c r="J494" s="680"/>
      <c r="K494" s="680"/>
      <c r="L494" s="634">
        <f>IF(A481&lt;=$F$3,C494+F494-I494,0)</f>
        <v>0</v>
      </c>
      <c r="M494" s="598">
        <f>IF(A481&lt;=$F$3,D494+G494-J494,0)</f>
        <v>0</v>
      </c>
      <c r="N494" s="598">
        <f>IF(A481&lt;=$F$3,E494+H494-K494,0)</f>
        <v>0</v>
      </c>
      <c r="O494" s="635">
        <f>IF(A481&lt;=$F$3,F494*Q494+G494*R494+H494*S494,0)</f>
        <v>0</v>
      </c>
      <c r="P494" s="636">
        <f>IF(A481&lt;=$F$3,I494*Q494+J494*R494+K494*S494,0)</f>
        <v>0</v>
      </c>
      <c r="Q494" s="637">
        <f t="shared" si="171"/>
        <v>52550.000000000044</v>
      </c>
      <c r="R494" s="638">
        <f t="shared" si="171"/>
        <v>81020.160000000062</v>
      </c>
      <c r="S494" s="639">
        <f t="shared" si="171"/>
        <v>84960.160000000062</v>
      </c>
      <c r="T494" s="637">
        <f>L494*$AH$6*AD$23</f>
        <v>0</v>
      </c>
      <c r="U494" s="640" t="e">
        <f>$AH$6*(1-AE$22)*((1+HLOOKUP($A$481,FC_Premissas!$D$5:$W$16,14,FALSE)^0.0833-1))*L494*12</f>
        <v>#REF!</v>
      </c>
      <c r="V494" s="638">
        <f>M494*$AP$6*AL$23</f>
        <v>0</v>
      </c>
      <c r="W494" s="669" t="e">
        <f>$AP$6*(1-AM$22)*((1+HLOOKUP($A$481,FC_Premissas!$D$5:$W$16,14,FALSE))^0.0833-1)*M494*12</f>
        <v>#REF!</v>
      </c>
      <c r="X494" s="637">
        <f>N494*$AX$6*AT$23</f>
        <v>0</v>
      </c>
      <c r="Y494" s="640" t="e">
        <f>$AX$6*(1-AU$22)*((1+HLOOKUP($A$481,FC_Premissas!$D$5:$W$16,14,FALSE))^0.0833-1)*N494*12</f>
        <v>#REF!</v>
      </c>
      <c r="Z494" s="638">
        <f t="shared" si="172"/>
        <v>0</v>
      </c>
      <c r="AA494" s="669" t="e">
        <f t="shared" si="172"/>
        <v>#REF!</v>
      </c>
      <c r="AB494" s="641"/>
    </row>
    <row r="495" spans="1:28" hidden="1" x14ac:dyDescent="0.2">
      <c r="A495" s="984"/>
      <c r="B495" s="633">
        <v>12</v>
      </c>
      <c r="C495" s="634">
        <f>IF(A481&lt;=$F$3,L469,0)</f>
        <v>0</v>
      </c>
      <c r="D495" s="598">
        <f>IF(A481&lt;=$F$3,M469,0)</f>
        <v>0</v>
      </c>
      <c r="E495" s="598">
        <f>IF(A481&lt;=$F$3,N469,0)</f>
        <v>0</v>
      </c>
      <c r="F495" s="679"/>
      <c r="G495" s="680"/>
      <c r="H495" s="680"/>
      <c r="I495" s="679"/>
      <c r="J495" s="680"/>
      <c r="K495" s="680"/>
      <c r="L495" s="634">
        <f>IF(A481&lt;=$F$3,C495+F495-I495,0)</f>
        <v>0</v>
      </c>
      <c r="M495" s="598">
        <f>IF(A481&lt;=$F$3,D495+G495-J495,0)</f>
        <v>0</v>
      </c>
      <c r="N495" s="598">
        <f>IF(A481&lt;=$F$3,E495+H495-K495,0)</f>
        <v>0</v>
      </c>
      <c r="O495" s="635">
        <f>IF(A481&lt;=$F$3,F495*Q495+G495*R495+H495*S495,0)</f>
        <v>0</v>
      </c>
      <c r="P495" s="636">
        <f>IF(A481&lt;=$F$3,I495*Q495+J495*R495+K495*S495,0)</f>
        <v>0</v>
      </c>
      <c r="Q495" s="637">
        <f t="shared" si="171"/>
        <v>52550.000000000044</v>
      </c>
      <c r="R495" s="638">
        <f t="shared" si="171"/>
        <v>81020.160000000062</v>
      </c>
      <c r="S495" s="639">
        <f t="shared" si="171"/>
        <v>84960.160000000062</v>
      </c>
      <c r="T495" s="637">
        <f>L495*$AH$6*AD$24</f>
        <v>0</v>
      </c>
      <c r="U495" s="640" t="e">
        <f>$AH$6*(1-AE$23)*((1+HLOOKUP($A$481,FC_Premissas!$D$5:$W$16,14,FALSE)^0.0833-1))*L495*12</f>
        <v>#REF!</v>
      </c>
      <c r="V495" s="638">
        <f>M495*$AP$6*AL$24</f>
        <v>0</v>
      </c>
      <c r="W495" s="669" t="e">
        <f>$AP$6*(1-AM$23)*((1+HLOOKUP($A$481,FC_Premissas!$D$5:$W$16,14,FALSE))^0.0833-1)*M495*12</f>
        <v>#REF!</v>
      </c>
      <c r="X495" s="637">
        <f>N495*$AX$6*AT$24</f>
        <v>0</v>
      </c>
      <c r="Y495" s="640" t="e">
        <f>$AX$6*(1-AU$23)*((1+HLOOKUP($A$481,FC_Premissas!$D$5:$W$16,14,FALSE))^0.0833-1)*N495*12</f>
        <v>#REF!</v>
      </c>
      <c r="Z495" s="638">
        <f t="shared" si="172"/>
        <v>0</v>
      </c>
      <c r="AA495" s="669" t="e">
        <f t="shared" si="172"/>
        <v>#REF!</v>
      </c>
      <c r="AB495" s="641"/>
    </row>
    <row r="496" spans="1:28" ht="11.25" hidden="1" customHeight="1" x14ac:dyDescent="0.2">
      <c r="A496" s="984"/>
      <c r="B496" s="633">
        <v>13</v>
      </c>
      <c r="C496" s="634">
        <f>IF(A481&lt;=$F$3,L470,0)</f>
        <v>0</v>
      </c>
      <c r="D496" s="598">
        <f>IF(A481&lt;=$F$3,M470,0)</f>
        <v>0</v>
      </c>
      <c r="E496" s="650">
        <f>IF(A481&lt;=$F$3,N470,0)</f>
        <v>0</v>
      </c>
      <c r="F496" s="634"/>
      <c r="G496" s="598"/>
      <c r="H496" s="598"/>
      <c r="I496" s="634"/>
      <c r="J496" s="598"/>
      <c r="K496" s="598"/>
      <c r="L496" s="634">
        <f>IF(A481&lt;=$F$3,C496+F496-I496,0)</f>
        <v>0</v>
      </c>
      <c r="M496" s="598">
        <f>IF(A481&lt;=$F$3,D496+G496-J496,0)</f>
        <v>0</v>
      </c>
      <c r="N496" s="598">
        <f>IF(A481&lt;=$F$3,E496+H496-K496,0)</f>
        <v>0</v>
      </c>
      <c r="O496" s="635">
        <f>IF(A481&lt;=$F$3,F496*Q496+G496*R496+H496*S496,0)</f>
        <v>0</v>
      </c>
      <c r="P496" s="636">
        <f>IF(A481&lt;=$F$3,I496*Q496+J496*R496+K496*S496,0)</f>
        <v>0</v>
      </c>
      <c r="Q496" s="637">
        <f t="shared" si="171"/>
        <v>52550.000000000044</v>
      </c>
      <c r="R496" s="638">
        <f t="shared" si="171"/>
        <v>81020.160000000062</v>
      </c>
      <c r="S496" s="639">
        <f t="shared" si="171"/>
        <v>84960.160000000062</v>
      </c>
      <c r="T496" s="637">
        <f>L496*$AH$6*AD$25</f>
        <v>0</v>
      </c>
      <c r="U496" s="640" t="e">
        <f>$AH$6*(1-AE$24)*((1+HLOOKUP($A$481,FC_Premissas!$D$5:$W$16,14,FALSE)^0.0833-1))*L496*12</f>
        <v>#REF!</v>
      </c>
      <c r="V496" s="638">
        <f>M496*$AP$6*AL$25</f>
        <v>0</v>
      </c>
      <c r="W496" s="669" t="e">
        <f>$AP$6*(1-AM$24)*((1+HLOOKUP($A$481,FC_Premissas!$D$5:$W$16,14,FALSE))^0.0833-1)*M496*12</f>
        <v>#REF!</v>
      </c>
      <c r="X496" s="637">
        <f>N496*$AX$6*AT$25</f>
        <v>0</v>
      </c>
      <c r="Y496" s="640" t="e">
        <f>$AX$6*(1-AU$24)*((1+HLOOKUP($A$481,FC_Premissas!$D$5:$W$16,14,FALSE))^0.0833-1)*N496*12</f>
        <v>#REF!</v>
      </c>
      <c r="Z496" s="638">
        <f t="shared" si="172"/>
        <v>0</v>
      </c>
      <c r="AA496" s="669" t="e">
        <f t="shared" si="172"/>
        <v>#REF!</v>
      </c>
      <c r="AB496" s="641"/>
    </row>
    <row r="497" spans="1:28" ht="11.25" hidden="1" customHeight="1" x14ac:dyDescent="0.2">
      <c r="A497" s="984"/>
      <c r="B497" s="633">
        <v>14</v>
      </c>
      <c r="C497" s="634">
        <f>IF(A481&lt;=$F$3,L471,0)</f>
        <v>0</v>
      </c>
      <c r="D497" s="598">
        <f>IF(A481&lt;=$F$3,M471,0)</f>
        <v>0</v>
      </c>
      <c r="E497" s="650">
        <f>IF(A481&lt;=$F$3,N471,0)</f>
        <v>0</v>
      </c>
      <c r="F497" s="634"/>
      <c r="G497" s="598"/>
      <c r="H497" s="598"/>
      <c r="I497" s="634"/>
      <c r="J497" s="598"/>
      <c r="K497" s="598"/>
      <c r="L497" s="634">
        <f>IF(A481&lt;=$F$3,C497+F497-I497,0)</f>
        <v>0</v>
      </c>
      <c r="M497" s="598">
        <f>IF(A481&lt;=$F$3,D497+G497-J497,0)</f>
        <v>0</v>
      </c>
      <c r="N497" s="598">
        <f>IF(A481&lt;=$F$3,E497+H497-K497,0)</f>
        <v>0</v>
      </c>
      <c r="O497" s="635">
        <f>IF(A481&lt;=$F$3,F497*Q497+G497*R497+H497*S497,0)</f>
        <v>0</v>
      </c>
      <c r="P497" s="636">
        <f>IF(A481&lt;=$F$3,I497*Q497+J497*R497+K497*S497,0)</f>
        <v>0</v>
      </c>
      <c r="Q497" s="637">
        <f t="shared" si="171"/>
        <v>52550.000000000044</v>
      </c>
      <c r="R497" s="638">
        <f t="shared" si="171"/>
        <v>81020.160000000062</v>
      </c>
      <c r="S497" s="639">
        <f t="shared" si="171"/>
        <v>84960.160000000062</v>
      </c>
      <c r="T497" s="637">
        <f>L497*$AH$6*AD$26</f>
        <v>0</v>
      </c>
      <c r="U497" s="640" t="e">
        <f>$AH$6*(1-AE$25)*((1+HLOOKUP($A$481,FC_Premissas!$D$5:$W$16,14,FALSE)^0.0833-1))*L497*12</f>
        <v>#REF!</v>
      </c>
      <c r="V497" s="638">
        <f>M497*$AP$6*AL$26</f>
        <v>0</v>
      </c>
      <c r="W497" s="669" t="e">
        <f>$AP$6*(1-AM$25)*((1+HLOOKUP($A$481,FC_Premissas!$D$5:$W$16,14,FALSE))^0.0833-1)*M497*12</f>
        <v>#REF!</v>
      </c>
      <c r="X497" s="637">
        <f>N497*$AX$6*AT$26</f>
        <v>0</v>
      </c>
      <c r="Y497" s="640" t="e">
        <f>$AX$6*(1-AU$25)*((1+HLOOKUP($A$481,FC_Premissas!$D$5:$W$16,14,FALSE))^0.0833-1)*N497*12</f>
        <v>#REF!</v>
      </c>
      <c r="Z497" s="638">
        <f t="shared" si="172"/>
        <v>0</v>
      </c>
      <c r="AA497" s="669" t="e">
        <f t="shared" si="172"/>
        <v>#REF!</v>
      </c>
      <c r="AB497" s="641"/>
    </row>
    <row r="498" spans="1:28" ht="11.25" hidden="1" customHeight="1" x14ac:dyDescent="0.2">
      <c r="A498" s="984"/>
      <c r="B498" s="633">
        <v>15</v>
      </c>
      <c r="C498" s="634">
        <f>IF(A481&lt;=$F$3,L472,0)</f>
        <v>0</v>
      </c>
      <c r="D498" s="598">
        <f>IF(A481&lt;=$F$3,M472,0)</f>
        <v>0</v>
      </c>
      <c r="E498" s="650">
        <f>IF(A481&lt;=$F$3,N472,0)</f>
        <v>0</v>
      </c>
      <c r="F498" s="634"/>
      <c r="G498" s="598"/>
      <c r="H498" s="598"/>
      <c r="I498" s="634"/>
      <c r="J498" s="598"/>
      <c r="K498" s="598"/>
      <c r="L498" s="634">
        <f>IF(A481&lt;=$F$3,C498+F498-I498,0)</f>
        <v>0</v>
      </c>
      <c r="M498" s="598">
        <f>IF(A481&lt;=$F$3,D498+G498-J498,0)</f>
        <v>0</v>
      </c>
      <c r="N498" s="598">
        <f>IF(A481&lt;=$F$3,E498+H498-K498,0)</f>
        <v>0</v>
      </c>
      <c r="O498" s="635">
        <f>IF(A481&lt;=$F$3,F498*Q498+G498*R498+H498*S498,0)</f>
        <v>0</v>
      </c>
      <c r="P498" s="636">
        <f>IF(A481&lt;=$F$3,I498*Q498+J498*R498+K498*S498,0)</f>
        <v>0</v>
      </c>
      <c r="Q498" s="637">
        <f t="shared" si="171"/>
        <v>52550.000000000044</v>
      </c>
      <c r="R498" s="638">
        <f t="shared" si="171"/>
        <v>81020.160000000062</v>
      </c>
      <c r="S498" s="639">
        <f t="shared" si="171"/>
        <v>84960.160000000062</v>
      </c>
      <c r="T498" s="637">
        <f t="shared" ref="T498:T503" si="173">L498*$AH$6*AD$27</f>
        <v>0</v>
      </c>
      <c r="U498" s="640" t="e">
        <f>$AH$6*(1-AE$26)*((1+HLOOKUP($A$481,FC_Premissas!$D$5:$W$16,14,FALSE)^0.0833-1))*L498*12</f>
        <v>#REF!</v>
      </c>
      <c r="V498" s="638">
        <f t="shared" ref="V498:V503" si="174">M498*$AP$6*AL$27</f>
        <v>0</v>
      </c>
      <c r="W498" s="669" t="e">
        <f>$AP$6*(1-AM$26)*((1+HLOOKUP($A$481,FC_Premissas!$D$5:$W$16,14,FALSE))^0.0833-1)*M498*12</f>
        <v>#REF!</v>
      </c>
      <c r="X498" s="637">
        <f t="shared" ref="X498:X503" si="175">N498*$AX$6*AT$27</f>
        <v>0</v>
      </c>
      <c r="Y498" s="640" t="e">
        <f>$AX$6*(1-AU$26)*((1+HLOOKUP($A$481,FC_Premissas!$D$5:$W$16,14,FALSE))^0.0833-1)*N498*12</f>
        <v>#REF!</v>
      </c>
      <c r="Z498" s="638">
        <f t="shared" si="172"/>
        <v>0</v>
      </c>
      <c r="AA498" s="640" t="e">
        <f t="shared" si="172"/>
        <v>#REF!</v>
      </c>
      <c r="AB498" s="641"/>
    </row>
    <row r="499" spans="1:28" hidden="1" x14ac:dyDescent="0.2">
      <c r="A499" s="984"/>
      <c r="B499" s="633">
        <v>16</v>
      </c>
      <c r="C499" s="634">
        <f>IF(A481&lt;=$F$3,L473,0)</f>
        <v>0</v>
      </c>
      <c r="D499" s="598">
        <f>IF(A481&lt;=$F$3,M473,0)</f>
        <v>0</v>
      </c>
      <c r="E499" s="650">
        <f>IF(A481&lt;=$F$3,N473,0)</f>
        <v>0</v>
      </c>
      <c r="F499" s="634"/>
      <c r="G499" s="598"/>
      <c r="H499" s="598"/>
      <c r="I499" s="634"/>
      <c r="J499" s="598"/>
      <c r="K499" s="598"/>
      <c r="L499" s="634">
        <f>IF(A481&lt;=$F$3,C499+F499-I499,0)</f>
        <v>0</v>
      </c>
      <c r="M499" s="598">
        <f>IF(A481&lt;=$F$3,D499+G499-J499,0)</f>
        <v>0</v>
      </c>
      <c r="N499" s="598">
        <f>IF(A481&lt;=$F$3,E499+H499-K499,0)</f>
        <v>0</v>
      </c>
      <c r="O499" s="635">
        <f>IF(A481&lt;=$F$3,F499*Q499+G499*R499+H499*S499,0)</f>
        <v>0</v>
      </c>
      <c r="P499" s="636">
        <f>IF(A481&lt;=$F$3,I499*Q499+J499*R499+K499*S499,0)</f>
        <v>0</v>
      </c>
      <c r="Q499" s="637">
        <f t="shared" ref="Q499:S503" si="176">Q474</f>
        <v>52550.000000000044</v>
      </c>
      <c r="R499" s="638">
        <f t="shared" si="176"/>
        <v>81020.160000000062</v>
      </c>
      <c r="S499" s="639">
        <f t="shared" si="176"/>
        <v>84960.160000000062</v>
      </c>
      <c r="T499" s="637">
        <f t="shared" si="173"/>
        <v>0</v>
      </c>
      <c r="U499" s="640" t="e">
        <f>$AH$6*(1-AE$27)*((1+HLOOKUP($A$481,FC_Premissas!$D$5:$W$16,14,FALSE)^0.0833-1))*L499*12</f>
        <v>#REF!</v>
      </c>
      <c r="V499" s="638">
        <f t="shared" si="174"/>
        <v>0</v>
      </c>
      <c r="W499" s="669" t="e">
        <f>$AP$6*(1-AM$27)*((1+HLOOKUP($A$481,FC_Premissas!$D$5:$W$16,14,FALSE))^0.0833-1)*M499*12</f>
        <v>#REF!</v>
      </c>
      <c r="X499" s="637">
        <f t="shared" si="175"/>
        <v>0</v>
      </c>
      <c r="Y499" s="640" t="e">
        <f>$AX$6*(1-AU$27)*((1+HLOOKUP($A$481,FC_Premissas!$D$5:$W$16,14,FALSE))^0.0833-1)*N499*12</f>
        <v>#REF!</v>
      </c>
      <c r="Z499" s="638">
        <f t="shared" si="172"/>
        <v>0</v>
      </c>
      <c r="AA499" s="640" t="e">
        <f t="shared" si="172"/>
        <v>#REF!</v>
      </c>
      <c r="AB499" s="641"/>
    </row>
    <row r="500" spans="1:28" hidden="1" x14ac:dyDescent="0.2">
      <c r="A500" s="984"/>
      <c r="B500" s="633">
        <v>17</v>
      </c>
      <c r="C500" s="634">
        <f>IF(A481&lt;=$F$3,L474,0)</f>
        <v>0</v>
      </c>
      <c r="D500" s="598">
        <f>IF(A481&lt;=$F$3,M474,0)</f>
        <v>0</v>
      </c>
      <c r="E500" s="650">
        <f>IF(A481&lt;=$F$3,N474,0)</f>
        <v>0</v>
      </c>
      <c r="F500" s="634"/>
      <c r="G500" s="598"/>
      <c r="H500" s="598"/>
      <c r="I500" s="634"/>
      <c r="J500" s="598"/>
      <c r="K500" s="598"/>
      <c r="L500" s="634">
        <f>IF(A481&lt;=$F$3,C500+F500-I500,0)</f>
        <v>0</v>
      </c>
      <c r="M500" s="598">
        <f>IF(A481&lt;=$F$3,D500+G500-J500,0)</f>
        <v>0</v>
      </c>
      <c r="N500" s="598">
        <f>IF(A481&lt;=$F$3,E500+H500-K500,0)</f>
        <v>0</v>
      </c>
      <c r="O500" s="635">
        <f>IF(A481&lt;=$F$3,F500*Q500+G500*R500+H500*S500,0)</f>
        <v>0</v>
      </c>
      <c r="P500" s="636">
        <f>IF(A481&lt;=$F$3,I500*Q500+J500*R500+K500*S500,0)</f>
        <v>0</v>
      </c>
      <c r="Q500" s="637">
        <f t="shared" si="176"/>
        <v>52550.000000000044</v>
      </c>
      <c r="R500" s="638">
        <f t="shared" si="176"/>
        <v>81020.160000000062</v>
      </c>
      <c r="S500" s="639">
        <f t="shared" si="176"/>
        <v>84960.160000000062</v>
      </c>
      <c r="T500" s="637">
        <f t="shared" si="173"/>
        <v>0</v>
      </c>
      <c r="U500" s="640" t="e">
        <f>$AH$6*(1-AE$28)*((1+HLOOKUP($A$481,FC_Premissas!$D$5:$W$16,14,FALSE)^0.0833-1))*L500*12</f>
        <v>#REF!</v>
      </c>
      <c r="V500" s="638">
        <f t="shared" si="174"/>
        <v>0</v>
      </c>
      <c r="W500" s="669" t="e">
        <f>$AP$6*(1-AM$28)*((1+HLOOKUP($A$481,FC_Premissas!$D$5:$W$16,14,FALSE))^0.0833-1)*M500*12</f>
        <v>#REF!</v>
      </c>
      <c r="X500" s="637">
        <f t="shared" si="175"/>
        <v>0</v>
      </c>
      <c r="Y500" s="640" t="e">
        <f>$AX$6*(1-AU$28)*((1+HLOOKUP($A$481,FC_Premissas!$D$5:$W$16,14,FALSE))^0.0833-1)*N500*12</f>
        <v>#REF!</v>
      </c>
      <c r="Z500" s="638">
        <f t="shared" si="172"/>
        <v>0</v>
      </c>
      <c r="AA500" s="640" t="e">
        <f t="shared" si="172"/>
        <v>#REF!</v>
      </c>
      <c r="AB500" s="641"/>
    </row>
    <row r="501" spans="1:28" hidden="1" x14ac:dyDescent="0.2">
      <c r="A501" s="984"/>
      <c r="B501" s="633">
        <v>18</v>
      </c>
      <c r="C501" s="634">
        <f>IF(A481&lt;=$F$3,L475,0)</f>
        <v>0</v>
      </c>
      <c r="D501" s="598">
        <f>IF(A481&lt;=$F$3,M475,0)</f>
        <v>0</v>
      </c>
      <c r="E501" s="650">
        <f>IF(A481&lt;=$F$3,N475,0)</f>
        <v>0</v>
      </c>
      <c r="F501" s="634"/>
      <c r="G501" s="598"/>
      <c r="H501" s="598"/>
      <c r="I501" s="634"/>
      <c r="J501" s="598"/>
      <c r="K501" s="598"/>
      <c r="L501" s="634">
        <f>IF(A481&lt;=$F$3,C501+F501-I501,0)</f>
        <v>0</v>
      </c>
      <c r="M501" s="598">
        <f>IF(A481&lt;=$F$3,D501+G501-J501,0)</f>
        <v>0</v>
      </c>
      <c r="N501" s="598">
        <f>IF(A481&lt;=$F$3,E501+H501-K501,0)</f>
        <v>0</v>
      </c>
      <c r="O501" s="635">
        <f>IF(A481&lt;=$F$3,F501*Q501+G501*R501+H501*S501,0)</f>
        <v>0</v>
      </c>
      <c r="P501" s="636">
        <f>IF(A481&lt;=$F$3,I501*Q501+J501*R501+K501*S501,0)</f>
        <v>0</v>
      </c>
      <c r="Q501" s="637">
        <f t="shared" si="176"/>
        <v>52550.000000000044</v>
      </c>
      <c r="R501" s="638">
        <f t="shared" si="176"/>
        <v>81020.160000000062</v>
      </c>
      <c r="S501" s="639">
        <f t="shared" si="176"/>
        <v>84960.160000000062</v>
      </c>
      <c r="T501" s="637">
        <f t="shared" si="173"/>
        <v>0</v>
      </c>
      <c r="U501" s="640" t="e">
        <f>$AH$6*(1-AE$29)*((1+HLOOKUP($A$481,FC_Premissas!$D$5:$W$16,14,FALSE)^0.0833-1))*L501*12</f>
        <v>#REF!</v>
      </c>
      <c r="V501" s="638">
        <f t="shared" si="174"/>
        <v>0</v>
      </c>
      <c r="W501" s="669" t="e">
        <f>$AP$6*(1-AM$29)*((1+HLOOKUP($A$481,FC_Premissas!$D$5:$W$16,14,FALSE))^0.0833-1)*M501*12</f>
        <v>#REF!</v>
      </c>
      <c r="X501" s="637">
        <f t="shared" si="175"/>
        <v>0</v>
      </c>
      <c r="Y501" s="640" t="e">
        <f>$AX$6*(1-AU$29)*((1+HLOOKUP($A$481,FC_Premissas!$D$5:$W$16,14,FALSE))^0.0833-1)*N501*12</f>
        <v>#REF!</v>
      </c>
      <c r="Z501" s="638">
        <f t="shared" si="172"/>
        <v>0</v>
      </c>
      <c r="AA501" s="640" t="e">
        <f t="shared" si="172"/>
        <v>#REF!</v>
      </c>
      <c r="AB501" s="641"/>
    </row>
    <row r="502" spans="1:28" hidden="1" x14ac:dyDescent="0.2">
      <c r="A502" s="984"/>
      <c r="B502" s="633">
        <v>19</v>
      </c>
      <c r="C502" s="634">
        <f>IF(A481&lt;=$F$3,L476,0)</f>
        <v>0</v>
      </c>
      <c r="D502" s="598">
        <f>IF(A481&lt;=$F$3,M476,0)</f>
        <v>0</v>
      </c>
      <c r="E502" s="650">
        <f>IF(A481&lt;=$F$3,N476,0)</f>
        <v>0</v>
      </c>
      <c r="F502" s="634"/>
      <c r="G502" s="598"/>
      <c r="H502" s="598"/>
      <c r="I502" s="634"/>
      <c r="J502" s="598"/>
      <c r="K502" s="598"/>
      <c r="L502" s="634">
        <f>IF(A481&lt;=$F$3,C502+F502-I502,0)</f>
        <v>0</v>
      </c>
      <c r="M502" s="598">
        <f>IF(A481&lt;=$F$3,D502+G502-J502,0)</f>
        <v>0</v>
      </c>
      <c r="N502" s="598">
        <f>IF(A481&lt;=$F$3,E502+H502-K502,0)</f>
        <v>0</v>
      </c>
      <c r="O502" s="635">
        <f>IF(A481&lt;=$F$3,F502*Q502+G502*R502+H502*S502,0)</f>
        <v>0</v>
      </c>
      <c r="P502" s="636">
        <f>IF(A481&lt;=$F$3,I502*Q502+J502*R502+K502*S502,0)</f>
        <v>0</v>
      </c>
      <c r="Q502" s="637">
        <f t="shared" si="176"/>
        <v>52550.000000000044</v>
      </c>
      <c r="R502" s="638">
        <f t="shared" si="176"/>
        <v>81020.160000000062</v>
      </c>
      <c r="S502" s="639">
        <f t="shared" si="176"/>
        <v>84960.160000000062</v>
      </c>
      <c r="T502" s="637">
        <f t="shared" si="173"/>
        <v>0</v>
      </c>
      <c r="U502" s="640" t="e">
        <f>$AH$6*(1-AE$30)*((1+HLOOKUP($A$481,FC_Premissas!$D$5:$W$16,14,FALSE)^0.0833-1))*L502*12</f>
        <v>#REF!</v>
      </c>
      <c r="V502" s="638">
        <f t="shared" si="174"/>
        <v>0</v>
      </c>
      <c r="W502" s="669" t="e">
        <f>$AP$6*(1-AM$30)*((1+HLOOKUP($A$481,FC_Premissas!$D$5:$W$16,14,FALSE))^0.0833-1)*M502*12</f>
        <v>#REF!</v>
      </c>
      <c r="X502" s="637">
        <f t="shared" si="175"/>
        <v>0</v>
      </c>
      <c r="Y502" s="640" t="e">
        <f>$AX$6*(1-AU$30)*((1+HLOOKUP($A$481,FC_Premissas!$D$5:$W$16,14,FALSE))^0.0833-1)*N502*12</f>
        <v>#REF!</v>
      </c>
      <c r="Z502" s="638">
        <f t="shared" si="172"/>
        <v>0</v>
      </c>
      <c r="AA502" s="640" t="e">
        <f t="shared" si="172"/>
        <v>#REF!</v>
      </c>
      <c r="AB502" s="641"/>
    </row>
    <row r="503" spans="1:28" hidden="1" x14ac:dyDescent="0.2">
      <c r="A503" s="984"/>
      <c r="B503" s="633">
        <v>20</v>
      </c>
      <c r="C503" s="616">
        <f>IF(A481&lt;=$F$3,L477,0)</f>
        <v>0</v>
      </c>
      <c r="D503" s="617">
        <f>IF(A481&lt;=$F$3,M477,0)</f>
        <v>0</v>
      </c>
      <c r="E503" s="650">
        <f>IF(A481&lt;=$F$3,N477,0)</f>
        <v>0</v>
      </c>
      <c r="F503" s="616"/>
      <c r="G503" s="617"/>
      <c r="H503" s="598"/>
      <c r="I503" s="616"/>
      <c r="J503" s="617"/>
      <c r="K503" s="598"/>
      <c r="L503" s="616">
        <f>IF(A481&lt;=$F$3,C503+F503-I503,0)</f>
        <v>0</v>
      </c>
      <c r="M503" s="617">
        <f>IF(A481&lt;=$F$3,D503+G503-J503,0)</f>
        <v>0</v>
      </c>
      <c r="N503" s="598">
        <f>IF(A481&lt;=$F$3,E503+H503-K503,0)</f>
        <v>0</v>
      </c>
      <c r="O503" s="635">
        <f>IF(A481&lt;=$F$3,F503*Q503+G503*R503+H503*S503,0)</f>
        <v>0</v>
      </c>
      <c r="P503" s="636">
        <f>IF(A481&lt;=$F$3,I503*Q503+J503*R503+K503*S503,0)</f>
        <v>0</v>
      </c>
      <c r="Q503" s="651">
        <f t="shared" si="176"/>
        <v>52550.000000000044</v>
      </c>
      <c r="R503" s="652">
        <f t="shared" si="176"/>
        <v>81020.160000000062</v>
      </c>
      <c r="S503" s="653">
        <f t="shared" si="176"/>
        <v>84960.160000000062</v>
      </c>
      <c r="T503" s="651">
        <f t="shared" si="173"/>
        <v>0</v>
      </c>
      <c r="U503" s="654" t="e">
        <f>$AH$6*(1-AE$31)*((1+HLOOKUP($A$481,FC_Premissas!$D$5:$W$16,14,FALSE)^0.0833-1))*L503*12</f>
        <v>#REF!</v>
      </c>
      <c r="V503" s="652">
        <f t="shared" si="174"/>
        <v>0</v>
      </c>
      <c r="W503" s="678" t="e">
        <f>$AP$6*(1-AM$31)*((1+HLOOKUP($A$481,FC_Premissas!$D$5:$W$16,14,FALSE))^0.0833-1)*M503*12</f>
        <v>#REF!</v>
      </c>
      <c r="X503" s="651">
        <f t="shared" si="175"/>
        <v>0</v>
      </c>
      <c r="Y503" s="654" t="e">
        <f>$AX$6*(1-AU$31)*((1+HLOOKUP($A$481,FC_Premissas!$D$5:$W$16,14,FALSE))^0.0833-1)*N503*12</f>
        <v>#REF!</v>
      </c>
      <c r="Z503" s="652">
        <f t="shared" si="172"/>
        <v>0</v>
      </c>
      <c r="AA503" s="654" t="e">
        <f t="shared" si="172"/>
        <v>#REF!</v>
      </c>
      <c r="AB503" s="641"/>
    </row>
    <row r="504" spans="1:28" hidden="1" x14ac:dyDescent="0.2">
      <c r="A504" s="984"/>
      <c r="B504" s="655" t="s">
        <v>1228</v>
      </c>
      <c r="C504" s="656">
        <f t="shared" ref="C504:P504" si="177">SUM(C483:C503)</f>
        <v>0</v>
      </c>
      <c r="D504" s="657">
        <f t="shared" si="177"/>
        <v>0</v>
      </c>
      <c r="E504" s="658">
        <f t="shared" si="177"/>
        <v>0</v>
      </c>
      <c r="F504" s="656">
        <f t="shared" si="177"/>
        <v>0</v>
      </c>
      <c r="G504" s="657">
        <f t="shared" si="177"/>
        <v>0</v>
      </c>
      <c r="H504" s="658">
        <f t="shared" si="177"/>
        <v>0</v>
      </c>
      <c r="I504" s="656">
        <f t="shared" si="177"/>
        <v>0</v>
      </c>
      <c r="J504" s="657">
        <f t="shared" si="177"/>
        <v>0</v>
      </c>
      <c r="K504" s="658">
        <f t="shared" si="177"/>
        <v>0</v>
      </c>
      <c r="L504" s="656">
        <f t="shared" si="177"/>
        <v>0</v>
      </c>
      <c r="M504" s="657">
        <f t="shared" si="177"/>
        <v>0</v>
      </c>
      <c r="N504" s="657">
        <f t="shared" si="177"/>
        <v>0</v>
      </c>
      <c r="O504" s="659">
        <f t="shared" si="177"/>
        <v>0</v>
      </c>
      <c r="P504" s="660">
        <f t="shared" si="177"/>
        <v>0</v>
      </c>
      <c r="Q504" s="638"/>
      <c r="R504" s="638"/>
      <c r="S504" s="638"/>
      <c r="T504" s="661">
        <f t="shared" ref="T504:AA504" si="178">SUM(T483:T503)</f>
        <v>0</v>
      </c>
      <c r="U504" s="662" t="e">
        <f t="shared" si="178"/>
        <v>#REF!</v>
      </c>
      <c r="V504" s="663">
        <f t="shared" si="178"/>
        <v>0</v>
      </c>
      <c r="W504" s="662" t="e">
        <f t="shared" si="178"/>
        <v>#REF!</v>
      </c>
      <c r="X504" s="663">
        <f t="shared" si="178"/>
        <v>0</v>
      </c>
      <c r="Y504" s="662" t="e">
        <f t="shared" si="178"/>
        <v>#REF!</v>
      </c>
      <c r="Z504" s="663">
        <f t="shared" si="178"/>
        <v>0</v>
      </c>
      <c r="AA504" s="664" t="e">
        <f t="shared" si="178"/>
        <v>#REF!</v>
      </c>
      <c r="AB504" s="641"/>
    </row>
    <row r="505" spans="1:28" hidden="1" x14ac:dyDescent="0.2">
      <c r="A505" s="985"/>
      <c r="B505" s="977" t="s">
        <v>1229</v>
      </c>
      <c r="C505" s="977"/>
      <c r="D505" s="977"/>
      <c r="E505" s="666" t="e">
        <f>(L505*L504+M505*M504+N505*N504)/(L504+M504+N504)</f>
        <v>#DIV/0!</v>
      </c>
      <c r="F505" s="665" t="s">
        <v>140</v>
      </c>
      <c r="G505" s="665"/>
      <c r="H505" s="665"/>
      <c r="I505" s="665"/>
      <c r="J505" s="665"/>
      <c r="K505" s="665"/>
      <c r="L505" s="887">
        <f>IF(L504=0,0,(SUMPRODUCT(L483:L503,$B483:$B503)/L504))</f>
        <v>0</v>
      </c>
      <c r="M505" s="887">
        <f>IF(M504=0,0,(SUMPRODUCT(M483:M503,$B483:$B503)/M504))</f>
        <v>0</v>
      </c>
      <c r="N505" s="887">
        <f>IF(N504=0,0,ROUND(SUMPRODUCT(N483:N503,$B483:$B503)/N504,0))</f>
        <v>0</v>
      </c>
      <c r="O505" s="667"/>
      <c r="P505" s="668"/>
      <c r="Q505" s="638"/>
      <c r="R505" s="638"/>
      <c r="S505" s="638"/>
      <c r="T505" s="638"/>
      <c r="U505" s="669"/>
      <c r="V505" s="638"/>
      <c r="W505" s="669"/>
      <c r="X505" s="638"/>
      <c r="Y505" s="669"/>
      <c r="Z505" s="638"/>
      <c r="AA505" s="669"/>
    </row>
    <row r="506" spans="1:28" ht="12.75" hidden="1" customHeight="1" x14ac:dyDescent="0.2">
      <c r="A506" s="983">
        <f>A481+1</f>
        <v>21</v>
      </c>
      <c r="B506" s="986" t="s">
        <v>1077</v>
      </c>
      <c r="C506" s="988" t="s">
        <v>1202</v>
      </c>
      <c r="D506" s="989"/>
      <c r="E506" s="990"/>
      <c r="F506" s="991" t="s">
        <v>1203</v>
      </c>
      <c r="G506" s="992"/>
      <c r="H506" s="993"/>
      <c r="I506" s="991" t="s">
        <v>1204</v>
      </c>
      <c r="J506" s="992"/>
      <c r="K506" s="993"/>
      <c r="L506" s="991" t="s">
        <v>1205</v>
      </c>
      <c r="M506" s="992"/>
      <c r="N506" s="992"/>
      <c r="O506" s="978" t="s">
        <v>1206</v>
      </c>
      <c r="P506" s="979"/>
      <c r="Q506" s="980" t="s">
        <v>1207</v>
      </c>
      <c r="R506" s="981"/>
      <c r="S506" s="982"/>
      <c r="T506" s="607" t="s">
        <v>1208</v>
      </c>
      <c r="U506" s="609" t="s">
        <v>1209</v>
      </c>
      <c r="V506" s="608" t="s">
        <v>1210</v>
      </c>
      <c r="W506" s="610" t="s">
        <v>1211</v>
      </c>
      <c r="X506" s="607" t="s">
        <v>1210</v>
      </c>
      <c r="Y506" s="609" t="s">
        <v>1211</v>
      </c>
      <c r="Z506" s="607" t="s">
        <v>1210</v>
      </c>
      <c r="AA506" s="609" t="s">
        <v>1211</v>
      </c>
    </row>
    <row r="507" spans="1:28" hidden="1" x14ac:dyDescent="0.2">
      <c r="A507" s="984"/>
      <c r="B507" s="987"/>
      <c r="C507" s="616" t="str">
        <f>$C$7</f>
        <v>Mini</v>
      </c>
      <c r="D507" s="617" t="str">
        <f>$D$7</f>
        <v>Midi</v>
      </c>
      <c r="E507" s="617" t="str">
        <f>$E$7</f>
        <v>Básico</v>
      </c>
      <c r="F507" s="616" t="str">
        <f>$C$7</f>
        <v>Mini</v>
      </c>
      <c r="G507" s="617" t="str">
        <f>$D$7</f>
        <v>Midi</v>
      </c>
      <c r="H507" s="617" t="str">
        <f>$E$7</f>
        <v>Básico</v>
      </c>
      <c r="I507" s="616" t="str">
        <f>$C$7</f>
        <v>Mini</v>
      </c>
      <c r="J507" s="617" t="str">
        <f>$D$7</f>
        <v>Midi</v>
      </c>
      <c r="K507" s="617" t="str">
        <f>$E$7</f>
        <v>Básico</v>
      </c>
      <c r="L507" s="616" t="str">
        <f>$C$7</f>
        <v>Mini</v>
      </c>
      <c r="M507" s="617" t="str">
        <f>$D$7</f>
        <v>Midi</v>
      </c>
      <c r="N507" s="617" t="str">
        <f>$E$7</f>
        <v>Básico</v>
      </c>
      <c r="O507" s="667" t="s">
        <v>1203</v>
      </c>
      <c r="P507" s="668" t="s">
        <v>1204</v>
      </c>
      <c r="Q507" s="620" t="str">
        <f>C507</f>
        <v>Mini</v>
      </c>
      <c r="R507" s="621" t="str">
        <f>D507</f>
        <v>Midi</v>
      </c>
      <c r="S507" s="622" t="str">
        <f>E507</f>
        <v>Básico</v>
      </c>
      <c r="T507" s="623" t="str">
        <f>C507</f>
        <v>Mini</v>
      </c>
      <c r="U507" s="624" t="str">
        <f>C507</f>
        <v>Mini</v>
      </c>
      <c r="V507" s="625" t="str">
        <f>D507</f>
        <v>Midi</v>
      </c>
      <c r="W507" s="626" t="str">
        <f>D507</f>
        <v>Midi</v>
      </c>
      <c r="X507" s="623" t="str">
        <f>E507</f>
        <v>Básico</v>
      </c>
      <c r="Y507" s="624" t="str">
        <f>E507</f>
        <v>Básico</v>
      </c>
      <c r="Z507" s="627" t="s">
        <v>1218</v>
      </c>
      <c r="AA507" s="628" t="s">
        <v>1218</v>
      </c>
    </row>
    <row r="508" spans="1:28" hidden="1" x14ac:dyDescent="0.2">
      <c r="A508" s="984"/>
      <c r="B508" s="633">
        <v>0</v>
      </c>
      <c r="C508" s="634">
        <v>0</v>
      </c>
      <c r="F508" s="679"/>
      <c r="G508" s="680"/>
      <c r="H508" s="680"/>
      <c r="I508" s="679"/>
      <c r="J508" s="680"/>
      <c r="K508" s="680"/>
      <c r="L508" s="634">
        <f>IF(A506&lt;=$F$3,C508+F508-I508,0)</f>
        <v>0</v>
      </c>
      <c r="M508" s="598">
        <f>IF(A506&lt;=$F$3,D508+G508-J508,0)</f>
        <v>0</v>
      </c>
      <c r="N508" s="598">
        <f>IF(A506&lt;=$F$3,E508+H508-K508,0)</f>
        <v>0</v>
      </c>
      <c r="O508" s="635">
        <f>IF(A506&lt;=$F$3,F508*Q508+G508*R508+H508*S508,0)</f>
        <v>0</v>
      </c>
      <c r="P508" s="636">
        <f>IF(A506&lt;=$F$3,I508*Q508+J508*R508+K508*S508,0)</f>
        <v>0</v>
      </c>
      <c r="Q508" s="637">
        <f t="shared" ref="Q508:S523" si="179">Q483</f>
        <v>525500</v>
      </c>
      <c r="R508" s="638">
        <f t="shared" si="179"/>
        <v>703800</v>
      </c>
      <c r="S508" s="639">
        <f t="shared" si="179"/>
        <v>743200</v>
      </c>
      <c r="T508" s="637">
        <f>L508*$AH$6*AD$12</f>
        <v>0</v>
      </c>
      <c r="U508" s="640" t="e">
        <f>$AH$6*(1-AE$11)*((1+HLOOKUP($A$481,FC_Premissas!$D$5:$W$16,14,FALSE)^0.0833-1))*L508*12</f>
        <v>#REF!</v>
      </c>
      <c r="V508" s="638">
        <f>M508*$AP$6*AL$12</f>
        <v>0</v>
      </c>
      <c r="W508" s="669" t="e">
        <f>$AP$6*(1-AM$11)*((1+HLOOKUP($A$481,FC_Premissas!$D$5:$W$16,14,FALSE)^0.0833-1))*M508*12</f>
        <v>#REF!</v>
      </c>
      <c r="X508" s="637">
        <f>N508*$AX$6*AT$12</f>
        <v>0</v>
      </c>
      <c r="Y508" s="640" t="e">
        <f>$AX$6*(1-AU$11)*((1+HLOOKUP($A$481,FC_Premissas!$D$5:$W$16,14,FALSE)^0.0833-1))*N508*12</f>
        <v>#REF!</v>
      </c>
      <c r="Z508" s="638">
        <f t="shared" ref="Z508:AA528" si="180">T508+V508+X508</f>
        <v>0</v>
      </c>
      <c r="AA508" s="669" t="e">
        <f t="shared" si="180"/>
        <v>#REF!</v>
      </c>
      <c r="AB508" s="641"/>
    </row>
    <row r="509" spans="1:28" hidden="1" x14ac:dyDescent="0.2">
      <c r="A509" s="984"/>
      <c r="B509" s="633">
        <v>1</v>
      </c>
      <c r="C509" s="634">
        <f>IF(A506&lt;=$F$3,L483,0)</f>
        <v>0</v>
      </c>
      <c r="D509" s="598">
        <f>IF(A506&lt;=$F$3,M483,0)</f>
        <v>0</v>
      </c>
      <c r="E509" s="598">
        <f>IF(A506&lt;=$F$3,N483,0)</f>
        <v>0</v>
      </c>
      <c r="F509" s="679"/>
      <c r="G509" s="680"/>
      <c r="H509" s="680"/>
      <c r="I509" s="681"/>
      <c r="J509" s="680"/>
      <c r="K509" s="680"/>
      <c r="L509" s="634">
        <f>IF(A506&lt;=$F$3,C509+F509-I509,0)</f>
        <v>0</v>
      </c>
      <c r="M509" s="598">
        <f>IF(A506&lt;=$F$3,D509+G509-J509,0)</f>
        <v>0</v>
      </c>
      <c r="N509" s="598">
        <f>IF(A506&lt;=$F$3,E509+H509-K509,0)</f>
        <v>0</v>
      </c>
      <c r="O509" s="635">
        <f>IF(A506&lt;=$F$3,F509*Q509+G509*R509+H509*S509,0)</f>
        <v>0</v>
      </c>
      <c r="P509" s="636">
        <f>IF(A506&lt;=$F$3,I509*Q509+J509*R509+K509*S509,0)</f>
        <v>0</v>
      </c>
      <c r="Q509" s="637">
        <f t="shared" si="179"/>
        <v>439509.09090909094</v>
      </c>
      <c r="R509" s="638">
        <f t="shared" si="179"/>
        <v>590567.30181818188</v>
      </c>
      <c r="S509" s="639">
        <f t="shared" si="179"/>
        <v>623520.02909090917</v>
      </c>
      <c r="T509" s="637">
        <f>L509*$AH$6*AD$13</f>
        <v>0</v>
      </c>
      <c r="U509" s="640" t="e">
        <f>$AH$6*(1-AE$12)*((1+HLOOKUP($A$481,FC_Premissas!$D$5:$W$16,14,FALSE)^0.0833-1))*L509*12</f>
        <v>#REF!</v>
      </c>
      <c r="V509" s="638">
        <f>M509*$AP$6*AL$13</f>
        <v>0</v>
      </c>
      <c r="W509" s="669" t="e">
        <f>$AP$6*(1-AM$12)*((1+HLOOKUP($A$481,FC_Premissas!$D$5:$W$16,14,FALSE))^0.0833-1)*M509*12</f>
        <v>#REF!</v>
      </c>
      <c r="X509" s="637">
        <f>N509*$AX$6*AT$13</f>
        <v>0</v>
      </c>
      <c r="Y509" s="640" t="e">
        <f>$AX$6*(1-AU$12)*((1+HLOOKUP($A$481,FC_Premissas!$D$5:$W$16,14,FALSE))^0.0833-1)*N509*12</f>
        <v>#REF!</v>
      </c>
      <c r="Z509" s="638">
        <f t="shared" si="180"/>
        <v>0</v>
      </c>
      <c r="AA509" s="669" t="e">
        <f t="shared" si="180"/>
        <v>#REF!</v>
      </c>
      <c r="AB509" s="641"/>
    </row>
    <row r="510" spans="1:28" hidden="1" x14ac:dyDescent="0.2">
      <c r="A510" s="984"/>
      <c r="B510" s="633">
        <v>2</v>
      </c>
      <c r="C510" s="634">
        <f>IF(A506&lt;=$F$3,L484,0)</f>
        <v>0</v>
      </c>
      <c r="D510" s="598">
        <f>IF(A506&lt;=$F$3,M484,0)</f>
        <v>0</v>
      </c>
      <c r="E510" s="598">
        <f>IF(A506&lt;=$F$3,N484,0)</f>
        <v>0</v>
      </c>
      <c r="F510" s="679"/>
      <c r="G510" s="680"/>
      <c r="H510" s="680"/>
      <c r="I510" s="679"/>
      <c r="J510" s="680"/>
      <c r="K510" s="680"/>
      <c r="L510" s="634">
        <f>IF(A506&lt;=$F$3,C510+F510-I510,0)</f>
        <v>0</v>
      </c>
      <c r="M510" s="598">
        <f>IF(A506&lt;=$F$3,D510+G510-J510,0)</f>
        <v>0</v>
      </c>
      <c r="N510" s="598">
        <f>IF(A506&lt;=$F$3,E510+H510-K510,0)</f>
        <v>0</v>
      </c>
      <c r="O510" s="635">
        <f>IF(A506&lt;=$F$3,F510*Q510+G510*R510+H510*S510,0)</f>
        <v>0</v>
      </c>
      <c r="P510" s="636">
        <f>IF(A506&lt;=$F$3,I510*Q510+J510*R510+K510*S510,0)</f>
        <v>0</v>
      </c>
      <c r="Q510" s="637">
        <f t="shared" si="179"/>
        <v>362117.27272727271</v>
      </c>
      <c r="R510" s="638">
        <f t="shared" si="179"/>
        <v>488657.87345454545</v>
      </c>
      <c r="S510" s="639">
        <f t="shared" si="179"/>
        <v>515808.05527272727</v>
      </c>
      <c r="T510" s="637">
        <f>L510*$AH$6*AD$14</f>
        <v>0</v>
      </c>
      <c r="U510" s="640" t="e">
        <f>$AH$6*(1-AE$13)*((1+HLOOKUP($A$481,FC_Premissas!$D$5:$W$16,14,FALSE)^0.0833-1))*L510*12</f>
        <v>#REF!</v>
      </c>
      <c r="V510" s="638">
        <f>M510*$AP$6*AL$14</f>
        <v>0</v>
      </c>
      <c r="W510" s="669" t="e">
        <f>$AP$6*(1-AM$13)*((1+HLOOKUP($A$481,FC_Premissas!$D$5:$W$16,14,FALSE))^0.0833-1)*M510*12</f>
        <v>#REF!</v>
      </c>
      <c r="X510" s="637">
        <f>N510*$AX$6*AT$14</f>
        <v>0</v>
      </c>
      <c r="Y510" s="640" t="e">
        <f>$AX$6*(1-AU$13)*((1+HLOOKUP($A$481,FC_Premissas!$D$5:$W$16,14,FALSE))^0.0833-1)*N510*12</f>
        <v>#REF!</v>
      </c>
      <c r="Z510" s="638">
        <f t="shared" si="180"/>
        <v>0</v>
      </c>
      <c r="AA510" s="669" t="e">
        <f t="shared" si="180"/>
        <v>#REF!</v>
      </c>
      <c r="AB510" s="641"/>
    </row>
    <row r="511" spans="1:28" hidden="1" x14ac:dyDescent="0.2">
      <c r="A511" s="984"/>
      <c r="B511" s="633">
        <v>3</v>
      </c>
      <c r="C511" s="634">
        <f>IF(A506&lt;=$F$3,L485,0)</f>
        <v>0</v>
      </c>
      <c r="D511" s="598">
        <f>IF(A506&lt;=$F$3,M485,0)</f>
        <v>0</v>
      </c>
      <c r="E511" s="598">
        <f>IF(A506&lt;=$F$3,N485,0)</f>
        <v>0</v>
      </c>
      <c r="F511" s="679"/>
      <c r="G511" s="680"/>
      <c r="H511" s="680"/>
      <c r="I511" s="679"/>
      <c r="J511" s="680"/>
      <c r="K511" s="680"/>
      <c r="L511" s="634">
        <f>IF(A506&lt;=$F$3,C511+F511-I511,0)</f>
        <v>0</v>
      </c>
      <c r="M511" s="598">
        <f>IF(A506&lt;=$F$3,D511+G511-J511,0)</f>
        <v>0</v>
      </c>
      <c r="N511" s="598">
        <f>IF(A506&lt;=$F$3,E511+H511-K511,0)</f>
        <v>0</v>
      </c>
      <c r="O511" s="635">
        <f>IF(A506&lt;=$F$3,F511*Q511+G511*R511+H511*S511,0)</f>
        <v>0</v>
      </c>
      <c r="P511" s="636">
        <f>IF(A506&lt;=$F$3,I511*Q511+J511*R511+K511*S511,0)</f>
        <v>0</v>
      </c>
      <c r="Q511" s="637">
        <f t="shared" si="179"/>
        <v>293324.54545454541</v>
      </c>
      <c r="R511" s="638">
        <f t="shared" si="179"/>
        <v>398071.71490909089</v>
      </c>
      <c r="S511" s="639">
        <f t="shared" si="179"/>
        <v>420064.07854545448</v>
      </c>
      <c r="T511" s="637">
        <f>L511*$AH$6*AD$15</f>
        <v>0</v>
      </c>
      <c r="U511" s="640" t="e">
        <f>$AH$6*(1-AE$14)*((1+HLOOKUP($A$481,FC_Premissas!$D$5:$W$16,14,FALSE)^0.0833-1))*L511*12</f>
        <v>#REF!</v>
      </c>
      <c r="V511" s="638">
        <f>M511*$AP$6*AL$15</f>
        <v>0</v>
      </c>
      <c r="W511" s="669" t="e">
        <f>$AP$6*(1-AM$14)*((1+HLOOKUP($A$481,FC_Premissas!$D$5:$W$16,14,FALSE))^0.0833-1)*M511*12</f>
        <v>#REF!</v>
      </c>
      <c r="X511" s="637">
        <f>N511*$AX$6*AT$15</f>
        <v>0</v>
      </c>
      <c r="Y511" s="640" t="e">
        <f>$AX$6*(1-AU$14)*((1+HLOOKUP($A$481,FC_Premissas!$D$5:$W$16,14,FALSE))^0.0833-1)*N511*12</f>
        <v>#REF!</v>
      </c>
      <c r="Z511" s="638">
        <f t="shared" si="180"/>
        <v>0</v>
      </c>
      <c r="AA511" s="669" t="e">
        <f t="shared" si="180"/>
        <v>#REF!</v>
      </c>
      <c r="AB511" s="641"/>
    </row>
    <row r="512" spans="1:28" hidden="1" x14ac:dyDescent="0.2">
      <c r="A512" s="984"/>
      <c r="B512" s="633">
        <v>4</v>
      </c>
      <c r="C512" s="634">
        <f>IF(A506&lt;=$F$3,L486,0)</f>
        <v>0</v>
      </c>
      <c r="D512" s="598">
        <f>IF(A506&lt;=$F$3,M486,0)</f>
        <v>0</v>
      </c>
      <c r="E512" s="598">
        <f>IF(A506&lt;=$F$3,N486,0)</f>
        <v>0</v>
      </c>
      <c r="F512" s="679"/>
      <c r="G512" s="680"/>
      <c r="H512" s="680"/>
      <c r="I512" s="679"/>
      <c r="J512" s="680"/>
      <c r="K512" s="680"/>
      <c r="L512" s="634">
        <f>IF(A506&lt;=$F$3,C512+F512-I512,0)</f>
        <v>0</v>
      </c>
      <c r="M512" s="598">
        <f>IF(A506&lt;=$F$3,D512+G512-J512,0)</f>
        <v>0</v>
      </c>
      <c r="N512" s="598">
        <f>IF(A506&lt;=$F$3,E512+H512-K512,0)</f>
        <v>0</v>
      </c>
      <c r="O512" s="635">
        <f>IF(A506&lt;=$F$3,F512*Q512+G512*R512+H512*S512,0)</f>
        <v>0</v>
      </c>
      <c r="P512" s="636">
        <f>IF(A506&lt;=$F$3,I512*Q512+J512*R512+K512*S512,0)</f>
        <v>0</v>
      </c>
      <c r="Q512" s="637">
        <f t="shared" si="179"/>
        <v>233130.90909090909</v>
      </c>
      <c r="R512" s="638">
        <f t="shared" si="179"/>
        <v>318808.82618181815</v>
      </c>
      <c r="S512" s="639">
        <f t="shared" si="179"/>
        <v>336288.09890909091</v>
      </c>
      <c r="T512" s="637">
        <f>L512*$AH$6*AD$16</f>
        <v>0</v>
      </c>
      <c r="U512" s="640" t="e">
        <f>$AH$6*(1-AE$15)*((1+HLOOKUP($A$481,FC_Premissas!$D$5:$W$16,14,FALSE)^0.0833-1))*L512*12</f>
        <v>#REF!</v>
      </c>
      <c r="V512" s="638">
        <f>M512*$AP$6*AL$16</f>
        <v>0</v>
      </c>
      <c r="W512" s="669" t="e">
        <f>$AP$6*(1-AM$15)*((1+HLOOKUP($A$481,FC_Premissas!$D$5:$W$16,14,FALSE))^0.0833-1)*M512*12</f>
        <v>#REF!</v>
      </c>
      <c r="X512" s="637">
        <f>N512*$AX$6*AT$16</f>
        <v>0</v>
      </c>
      <c r="Y512" s="640" t="e">
        <f>$AX$6*(1-AU$15)*((1+HLOOKUP($A$481,FC_Premissas!$D$5:$W$16,14,FALSE))^0.0833-1)*N512*12</f>
        <v>#REF!</v>
      </c>
      <c r="Z512" s="638">
        <f t="shared" si="180"/>
        <v>0</v>
      </c>
      <c r="AA512" s="669" t="e">
        <f t="shared" si="180"/>
        <v>#REF!</v>
      </c>
      <c r="AB512" s="641"/>
    </row>
    <row r="513" spans="1:28" hidden="1" x14ac:dyDescent="0.2">
      <c r="A513" s="984"/>
      <c r="B513" s="633">
        <v>5</v>
      </c>
      <c r="C513" s="634">
        <f>IF(A506&lt;=$F$3,L487,0)</f>
        <v>0</v>
      </c>
      <c r="D513" s="598">
        <f>IF(A506&lt;=$F$3,M487,0)</f>
        <v>0</v>
      </c>
      <c r="E513" s="598">
        <f>IF(A506&lt;=$F$3,N487,0)</f>
        <v>0</v>
      </c>
      <c r="F513" s="679"/>
      <c r="G513" s="680"/>
      <c r="H513" s="680"/>
      <c r="I513" s="679"/>
      <c r="J513" s="680"/>
      <c r="K513" s="680"/>
      <c r="L513" s="634">
        <f>IF(A506&lt;=$F$3,C513+F513-I513,0)</f>
        <v>0</v>
      </c>
      <c r="M513" s="598">
        <f>IF(A506&lt;=$F$3,D513+G513-J513,0)</f>
        <v>0</v>
      </c>
      <c r="N513" s="598">
        <f>IF(A506&lt;=$F$3,E513+H513-K513,0)</f>
        <v>0</v>
      </c>
      <c r="O513" s="635">
        <f>IF(A506&lt;=$F$3,F513*Q513+G513*R513+H513*S513,0)</f>
        <v>0</v>
      </c>
      <c r="P513" s="636">
        <f>IF(A506&lt;=$F$3,I513*Q513+J513*R513+K513*S513,0)</f>
        <v>0</v>
      </c>
      <c r="Q513" s="637">
        <f t="shared" si="179"/>
        <v>181536.36363636365</v>
      </c>
      <c r="R513" s="638">
        <f t="shared" si="179"/>
        <v>250869.20727272728</v>
      </c>
      <c r="S513" s="639">
        <f t="shared" si="179"/>
        <v>264480.11636363639</v>
      </c>
      <c r="T513" s="637">
        <f>L513*$AH$6*AD$17</f>
        <v>0</v>
      </c>
      <c r="U513" s="640" t="e">
        <f>$AH$6*(1-AE$16)*((1+HLOOKUP($A$481,FC_Premissas!$D$5:$W$16,14,FALSE)^0.0833-1))*L513*12</f>
        <v>#REF!</v>
      </c>
      <c r="V513" s="638">
        <f>M513*$AP$6*AL$17</f>
        <v>0</v>
      </c>
      <c r="W513" s="669" t="e">
        <f>$AP$6*(1-AM$16)*((1+HLOOKUP($A$481,FC_Premissas!$D$5:$W$16,14,FALSE))^0.0833-1)*M513*12</f>
        <v>#REF!</v>
      </c>
      <c r="X513" s="637">
        <f>N513*$AX$6*AT$17</f>
        <v>0</v>
      </c>
      <c r="Y513" s="640" t="e">
        <f>$AX$6*(1-AU$16)*((1+HLOOKUP($A$481,FC_Premissas!$D$5:$W$16,14,FALSE))^0.0833-1)*N513*12</f>
        <v>#REF!</v>
      </c>
      <c r="Z513" s="638">
        <f t="shared" si="180"/>
        <v>0</v>
      </c>
      <c r="AA513" s="669" t="e">
        <f t="shared" si="180"/>
        <v>#REF!</v>
      </c>
      <c r="AB513" s="641"/>
    </row>
    <row r="514" spans="1:28" hidden="1" x14ac:dyDescent="0.2">
      <c r="A514" s="984"/>
      <c r="B514" s="633">
        <v>6</v>
      </c>
      <c r="C514" s="634">
        <f>IF(A506&lt;=$F$3,L488,0)</f>
        <v>0</v>
      </c>
      <c r="D514" s="598">
        <f>IF(A506&lt;=$F$3,M488,0)</f>
        <v>0</v>
      </c>
      <c r="E514" s="598">
        <f>IF(A506&lt;=$F$3,N488,0)</f>
        <v>0</v>
      </c>
      <c r="F514" s="679"/>
      <c r="G514" s="680"/>
      <c r="H514" s="680"/>
      <c r="I514" s="679"/>
      <c r="J514" s="680"/>
      <c r="K514" s="680"/>
      <c r="L514" s="634">
        <f>IF(A506&lt;=$F$3,C514+F514-I514,0)</f>
        <v>0</v>
      </c>
      <c r="M514" s="598">
        <f>IF(A506&lt;=$F$3,D514+G514-J514,0)</f>
        <v>0</v>
      </c>
      <c r="N514" s="598">
        <f>IF(A506&lt;=$F$3,E514+H514-K514,0)</f>
        <v>0</v>
      </c>
      <c r="O514" s="635">
        <f>IF(A506&lt;=$F$3,F514*Q514+G514*R514+H514*S514,0)</f>
        <v>0</v>
      </c>
      <c r="P514" s="636">
        <f>IF(A506&lt;=$F$3,I514*Q514+J514*R514+K514*S514,0)</f>
        <v>0</v>
      </c>
      <c r="Q514" s="637">
        <f t="shared" si="179"/>
        <v>138540.90909090912</v>
      </c>
      <c r="R514" s="638">
        <f t="shared" si="179"/>
        <v>194252.85818181818</v>
      </c>
      <c r="S514" s="639">
        <f t="shared" si="179"/>
        <v>204640.13090909092</v>
      </c>
      <c r="T514" s="637">
        <f>L514*$AH$6*AD$18</f>
        <v>0</v>
      </c>
      <c r="U514" s="640" t="e">
        <f>$AH$6*(1-AE$17)*((1+HLOOKUP($A$481,FC_Premissas!$D$5:$W$16,14,FALSE)^0.0833-1))*L514*12</f>
        <v>#REF!</v>
      </c>
      <c r="V514" s="638">
        <f>M514*$AP$6*AL$18</f>
        <v>0</v>
      </c>
      <c r="W514" s="669" t="e">
        <f>$AP$6*(1-AM$17)*((1+HLOOKUP($A$481,FC_Premissas!$D$5:$W$16,14,FALSE))^0.0833-1)*M514*12</f>
        <v>#REF!</v>
      </c>
      <c r="X514" s="637">
        <f>N514*$AX$6*AT$18</f>
        <v>0</v>
      </c>
      <c r="Y514" s="640" t="e">
        <f>$AX$6*(1-AU$17)*((1+HLOOKUP($A$481,FC_Premissas!$D$5:$W$16,14,FALSE))^0.0833-1)*N514*12</f>
        <v>#REF!</v>
      </c>
      <c r="Z514" s="638">
        <f t="shared" si="180"/>
        <v>0</v>
      </c>
      <c r="AA514" s="669" t="e">
        <f t="shared" si="180"/>
        <v>#REF!</v>
      </c>
      <c r="AB514" s="641"/>
    </row>
    <row r="515" spans="1:28" hidden="1" x14ac:dyDescent="0.2">
      <c r="A515" s="984"/>
      <c r="B515" s="633">
        <v>7</v>
      </c>
      <c r="C515" s="634">
        <f>IF(A506&lt;=$F$3,L489,0)</f>
        <v>0</v>
      </c>
      <c r="D515" s="598">
        <f>IF(A506&lt;=$F$3,M489,0)</f>
        <v>0</v>
      </c>
      <c r="E515" s="598">
        <f>IF(A506&lt;=$F$3,N489,0)</f>
        <v>0</v>
      </c>
      <c r="F515" s="679"/>
      <c r="G515" s="680"/>
      <c r="H515" s="680"/>
      <c r="I515" s="679"/>
      <c r="J515" s="680"/>
      <c r="K515" s="680"/>
      <c r="L515" s="634">
        <f>IF(A506&lt;=$F$3,C515+F515-I515,0)</f>
        <v>0</v>
      </c>
      <c r="M515" s="598">
        <f>IF(A506&lt;=$F$3,D515+G515-J515,0)</f>
        <v>0</v>
      </c>
      <c r="N515" s="598">
        <f>IF(A506&lt;=$F$3,E515+H515-K515,0)</f>
        <v>0</v>
      </c>
      <c r="O515" s="635">
        <f>IF(A506&lt;=$F$3,F515*Q515+G515*R515+H515*S515,0)</f>
        <v>0</v>
      </c>
      <c r="P515" s="636">
        <f>IF(A506&lt;=$F$3,I515*Q515+J515*R515+K515*S515,0)</f>
        <v>0</v>
      </c>
      <c r="Q515" s="637">
        <f t="shared" si="179"/>
        <v>104144.54545454548</v>
      </c>
      <c r="R515" s="638">
        <f t="shared" si="179"/>
        <v>148959.77890909094</v>
      </c>
      <c r="S515" s="639">
        <f t="shared" si="179"/>
        <v>156768.14254545458</v>
      </c>
      <c r="T515" s="637">
        <f>L515*$AH$6*AD$19</f>
        <v>0</v>
      </c>
      <c r="U515" s="640" t="e">
        <f>$AH$6*(1-AE$18)*((1+HLOOKUP($A$481,FC_Premissas!$D$5:$W$16,14,FALSE)^0.0833-1))*L515*12</f>
        <v>#REF!</v>
      </c>
      <c r="V515" s="638">
        <f>M515*$AP$6*AL$19</f>
        <v>0</v>
      </c>
      <c r="W515" s="669" t="e">
        <f>$AP$6*(1-AM$18)*((1+HLOOKUP($A$481,FC_Premissas!$D$5:$W$16,14,FALSE))^0.0833-1)*M515*12</f>
        <v>#REF!</v>
      </c>
      <c r="X515" s="637">
        <f>N515*$AX$6*AT$19</f>
        <v>0</v>
      </c>
      <c r="Y515" s="640" t="e">
        <f>$AX$6*(1-AU$18)*((1+HLOOKUP($A$481,FC_Premissas!$D$5:$W$16,14,FALSE))^0.0833-1)*N515*12</f>
        <v>#REF!</v>
      </c>
      <c r="Z515" s="638">
        <f t="shared" si="180"/>
        <v>0</v>
      </c>
      <c r="AA515" s="669" t="e">
        <f t="shared" si="180"/>
        <v>#REF!</v>
      </c>
      <c r="AB515" s="641"/>
    </row>
    <row r="516" spans="1:28" hidden="1" x14ac:dyDescent="0.2">
      <c r="A516" s="984"/>
      <c r="B516" s="633">
        <v>8</v>
      </c>
      <c r="C516" s="634">
        <f>IF(A506&lt;=$F$3,L490,0)</f>
        <v>0</v>
      </c>
      <c r="D516" s="598">
        <f>IF(A506&lt;=$F$3,M490,0)</f>
        <v>0</v>
      </c>
      <c r="E516" s="598">
        <f>IF(A506&lt;=$F$3,N490,0)</f>
        <v>0</v>
      </c>
      <c r="F516" s="679"/>
      <c r="G516" s="680"/>
      <c r="H516" s="680"/>
      <c r="I516" s="679"/>
      <c r="J516" s="680"/>
      <c r="K516" s="680"/>
      <c r="L516" s="634">
        <f>IF(A506&lt;=$F$3,C516+F516-I516,0)</f>
        <v>0</v>
      </c>
      <c r="M516" s="598">
        <f>IF(A506&lt;=$F$3,D516+G516-J516,0)</f>
        <v>0</v>
      </c>
      <c r="N516" s="598">
        <f>IF(A506&lt;=$F$3,E516+H516-K516,0)</f>
        <v>0</v>
      </c>
      <c r="O516" s="635">
        <f>IF(A506&lt;=$F$3,F516*Q516+G516*R516+H516*S516,0)</f>
        <v>0</v>
      </c>
      <c r="P516" s="636">
        <f>IF(A506&lt;=$F$3,I516*Q516+J516*R516+K516*S516,0)</f>
        <v>0</v>
      </c>
      <c r="Q516" s="637">
        <f t="shared" si="179"/>
        <v>78347.272727272764</v>
      </c>
      <c r="R516" s="638">
        <f t="shared" si="179"/>
        <v>114989.9694545455</v>
      </c>
      <c r="S516" s="639">
        <f t="shared" si="179"/>
        <v>120864.15127272732</v>
      </c>
      <c r="T516" s="637">
        <f>L516*$AH$6*AD$20</f>
        <v>0</v>
      </c>
      <c r="U516" s="640" t="e">
        <f>$AH$6*(1-AE$19)*((1+HLOOKUP($A$481,FC_Premissas!$D$5:$W$16,14,FALSE)^0.0833-1))*L516*12</f>
        <v>#REF!</v>
      </c>
      <c r="V516" s="638">
        <f>M516*$AP$6*AL$20</f>
        <v>0</v>
      </c>
      <c r="W516" s="669" t="e">
        <f>$AP$6*(1-AM$19)*((1+HLOOKUP($A$481,FC_Premissas!$D$5:$W$16,14,FALSE))^0.0833-1)*M516*12</f>
        <v>#REF!</v>
      </c>
      <c r="X516" s="637">
        <f>N516*$AX$6*AT$20</f>
        <v>0</v>
      </c>
      <c r="Y516" s="640" t="e">
        <f>$AX$6*(1-AU$19)*((1+HLOOKUP($A$481,FC_Premissas!$D$5:$W$16,14,FALSE))^0.0833-1)*N516*12</f>
        <v>#REF!</v>
      </c>
      <c r="Z516" s="638">
        <f t="shared" si="180"/>
        <v>0</v>
      </c>
      <c r="AA516" s="669" t="e">
        <f t="shared" si="180"/>
        <v>#REF!</v>
      </c>
      <c r="AB516" s="641"/>
    </row>
    <row r="517" spans="1:28" hidden="1" x14ac:dyDescent="0.2">
      <c r="A517" s="984"/>
      <c r="B517" s="633">
        <v>9</v>
      </c>
      <c r="C517" s="634">
        <f>IF(A506&lt;=$F$3,L491,0)</f>
        <v>0</v>
      </c>
      <c r="D517" s="598">
        <f>IF(A506&lt;=$F$3,M491,0)</f>
        <v>0</v>
      </c>
      <c r="E517" s="598">
        <f>IF(A506&lt;=$F$3,N491,0)</f>
        <v>0</v>
      </c>
      <c r="F517" s="679"/>
      <c r="G517" s="680"/>
      <c r="H517" s="680"/>
      <c r="I517" s="679"/>
      <c r="J517" s="680"/>
      <c r="K517" s="680"/>
      <c r="L517" s="634">
        <f>IF(A506&lt;=$F$3,C517+F517-I517,0)</f>
        <v>0</v>
      </c>
      <c r="M517" s="598">
        <f>IF(A506&lt;=$F$3,D517+G517-J517,0)</f>
        <v>0</v>
      </c>
      <c r="N517" s="598">
        <f>IF(A506&lt;=$F$3,E517+H517-K517,0)</f>
        <v>0</v>
      </c>
      <c r="O517" s="635">
        <f>IF(A506&lt;=$F$3,F517*Q517+G517*R517+H517*S517,0)</f>
        <v>0</v>
      </c>
      <c r="P517" s="636">
        <f>IF(A506&lt;=$F$3,I517*Q517+J517*R517+K517*S517,0)</f>
        <v>0</v>
      </c>
      <c r="Q517" s="637">
        <f t="shared" si="179"/>
        <v>61149.090909090955</v>
      </c>
      <c r="R517" s="638">
        <f t="shared" si="179"/>
        <v>92343.429818181874</v>
      </c>
      <c r="S517" s="639">
        <f t="shared" si="179"/>
        <v>96928.157090909139</v>
      </c>
      <c r="T517" s="637">
        <f>L517*$AH$6*AD$21</f>
        <v>0</v>
      </c>
      <c r="U517" s="640" t="e">
        <f>$AH$6*(1-AE$20)*((1+HLOOKUP($A$481,FC_Premissas!$D$5:$W$16,14,FALSE)^0.0833-1))*L517*12</f>
        <v>#REF!</v>
      </c>
      <c r="V517" s="638">
        <f>M517*$AP$6*AL$21</f>
        <v>0</v>
      </c>
      <c r="W517" s="669" t="e">
        <f>$AP$6*(1-AM$20)*((1+HLOOKUP($A$481,FC_Premissas!$D$5:$W$16,14,FALSE))^0.0833-1)*M517*12</f>
        <v>#REF!</v>
      </c>
      <c r="X517" s="637">
        <f>N517*$AX$6*AT$21</f>
        <v>0</v>
      </c>
      <c r="Y517" s="640" t="e">
        <f>$AX$6*(1-AU$20)*((1+HLOOKUP($A$481,FC_Premissas!$D$5:$W$16,14,FALSE))^0.0833-1)*N517*12</f>
        <v>#REF!</v>
      </c>
      <c r="Z517" s="638">
        <f t="shared" si="180"/>
        <v>0</v>
      </c>
      <c r="AA517" s="669" t="e">
        <f t="shared" si="180"/>
        <v>#REF!</v>
      </c>
      <c r="AB517" s="641"/>
    </row>
    <row r="518" spans="1:28" hidden="1" x14ac:dyDescent="0.2">
      <c r="A518" s="984"/>
      <c r="B518" s="633">
        <v>10</v>
      </c>
      <c r="C518" s="634">
        <f>IF(A506&lt;=$F$3,L492,0)</f>
        <v>0</v>
      </c>
      <c r="D518" s="598">
        <f>IF(A506&lt;=$F$3,M492,0)</f>
        <v>0</v>
      </c>
      <c r="E518" s="598">
        <f>IF(A506&lt;=$F$3,N492,0)</f>
        <v>0</v>
      </c>
      <c r="F518" s="679"/>
      <c r="G518" s="680"/>
      <c r="H518" s="680"/>
      <c r="I518" s="679"/>
      <c r="J518" s="680"/>
      <c r="K518" s="680"/>
      <c r="L518" s="634">
        <f>IF(A506&lt;=$F$3,C518+F518-I518,0)</f>
        <v>0</v>
      </c>
      <c r="M518" s="598">
        <f>IF(A506&lt;=$F$3,D518+G518-J518,0)</f>
        <v>0</v>
      </c>
      <c r="N518" s="598">
        <f>IF(A506&lt;=$F$3,E518+H518-K518,0)</f>
        <v>0</v>
      </c>
      <c r="O518" s="635">
        <f>IF(A506&lt;=$F$3,F518*Q518+G518*R518+H518*S518,0)</f>
        <v>0</v>
      </c>
      <c r="P518" s="636">
        <f>IF(A506&lt;=$F$3,I518*Q518+J518*R518+K518*S518,0)</f>
        <v>0</v>
      </c>
      <c r="Q518" s="637">
        <f t="shared" si="179"/>
        <v>52550.000000000044</v>
      </c>
      <c r="R518" s="638">
        <f t="shared" si="179"/>
        <v>81020.160000000062</v>
      </c>
      <c r="S518" s="639">
        <f t="shared" si="179"/>
        <v>84960.160000000062</v>
      </c>
      <c r="T518" s="637">
        <f>L518*$AH$6*AD$22</f>
        <v>0</v>
      </c>
      <c r="U518" s="640" t="e">
        <f>$AH$6*(1-AE$21)*((1+HLOOKUP($A$481,FC_Premissas!$D$5:$W$16,14,FALSE)^0.0833-1))*L518*12</f>
        <v>#REF!</v>
      </c>
      <c r="V518" s="638">
        <f>M518*$AP$6*AL$22</f>
        <v>0</v>
      </c>
      <c r="W518" s="669" t="e">
        <f>$AP$6*(1-AM$21)*((1+HLOOKUP($A$481,FC_Premissas!$D$5:$W$16,14,FALSE))^0.0833-1)*M518*12</f>
        <v>#REF!</v>
      </c>
      <c r="X518" s="637">
        <f>N518*$AX$6*AT$22</f>
        <v>0</v>
      </c>
      <c r="Y518" s="640" t="e">
        <f>$AX$6*(1-AU$21)*((1+HLOOKUP($A$481,FC_Premissas!$D$5:$W$16,14,FALSE))^0.0833-1)*N518*12</f>
        <v>#REF!</v>
      </c>
      <c r="Z518" s="638">
        <f t="shared" si="180"/>
        <v>0</v>
      </c>
      <c r="AA518" s="669" t="e">
        <f t="shared" si="180"/>
        <v>#REF!</v>
      </c>
      <c r="AB518" s="641"/>
    </row>
    <row r="519" spans="1:28" hidden="1" x14ac:dyDescent="0.2">
      <c r="A519" s="984"/>
      <c r="B519" s="633">
        <v>11</v>
      </c>
      <c r="C519" s="634">
        <f>IF(A506&lt;=$F$3,L493,0)</f>
        <v>0</v>
      </c>
      <c r="D519" s="598">
        <f>IF(A506&lt;=$F$3,M493,0)</f>
        <v>0</v>
      </c>
      <c r="E519" s="598">
        <f>IF(A506&lt;=$F$3,N493,0)</f>
        <v>0</v>
      </c>
      <c r="F519" s="679"/>
      <c r="G519" s="680"/>
      <c r="H519" s="680"/>
      <c r="I519" s="679"/>
      <c r="J519" s="680"/>
      <c r="K519" s="680"/>
      <c r="L519" s="634">
        <f>IF(A506&lt;=$F$3,C519+F519-I519,0)</f>
        <v>0</v>
      </c>
      <c r="M519" s="598">
        <f>IF(A506&lt;=$F$3,D519+G519-J519,0)</f>
        <v>0</v>
      </c>
      <c r="N519" s="598">
        <f>IF(A506&lt;=$F$3,E519+H519-K519,0)</f>
        <v>0</v>
      </c>
      <c r="O519" s="635">
        <f>IF(A506&lt;=$F$3,F519*Q519+G519*R519+H519*S519,0)</f>
        <v>0</v>
      </c>
      <c r="P519" s="636">
        <f>IF(A506&lt;=$F$3,I519*Q519+J519*R519+K519*S519,0)</f>
        <v>0</v>
      </c>
      <c r="Q519" s="637">
        <f t="shared" si="179"/>
        <v>52550.000000000044</v>
      </c>
      <c r="R519" s="638">
        <f t="shared" si="179"/>
        <v>81020.160000000062</v>
      </c>
      <c r="S519" s="639">
        <f t="shared" si="179"/>
        <v>84960.160000000062</v>
      </c>
      <c r="T519" s="637">
        <f>L519*$AH$6*AD$23</f>
        <v>0</v>
      </c>
      <c r="U519" s="640" t="e">
        <f>$AH$6*(1-AE$22)*((1+HLOOKUP($A$481,FC_Premissas!$D$5:$W$16,14,FALSE)^0.0833-1))*L519*12</f>
        <v>#REF!</v>
      </c>
      <c r="V519" s="638">
        <f>M519*$AP$6*AL$23</f>
        <v>0</v>
      </c>
      <c r="W519" s="669" t="e">
        <f>$AP$6*(1-AM$22)*((1+HLOOKUP($A$481,FC_Premissas!$D$5:$W$16,14,FALSE))^0.0833-1)*M519*12</f>
        <v>#REF!</v>
      </c>
      <c r="X519" s="637">
        <f>N519*$AX$6*AT$23</f>
        <v>0</v>
      </c>
      <c r="Y519" s="640" t="e">
        <f>$AX$6*(1-AU$22)*((1+HLOOKUP($A$481,FC_Premissas!$D$5:$W$16,14,FALSE))^0.0833-1)*N519*12</f>
        <v>#REF!</v>
      </c>
      <c r="Z519" s="638">
        <f t="shared" si="180"/>
        <v>0</v>
      </c>
      <c r="AA519" s="669" t="e">
        <f t="shared" si="180"/>
        <v>#REF!</v>
      </c>
      <c r="AB519" s="641"/>
    </row>
    <row r="520" spans="1:28" hidden="1" x14ac:dyDescent="0.2">
      <c r="A520" s="984"/>
      <c r="B520" s="633">
        <v>12</v>
      </c>
      <c r="C520" s="634">
        <f>IF(A506&lt;=$F$3,L494,0)</f>
        <v>0</v>
      </c>
      <c r="D520" s="598">
        <f>IF(A506&lt;=$F$3,M494,0)</f>
        <v>0</v>
      </c>
      <c r="E520" s="598">
        <f>IF(A506&lt;=$F$3,N494,0)</f>
        <v>0</v>
      </c>
      <c r="F520" s="679"/>
      <c r="G520" s="680"/>
      <c r="H520" s="680"/>
      <c r="I520" s="679"/>
      <c r="J520" s="680"/>
      <c r="K520" s="680"/>
      <c r="L520" s="634">
        <f>IF(A506&lt;=$F$3,C520+F520-I520,0)</f>
        <v>0</v>
      </c>
      <c r="M520" s="598">
        <f>IF(A506&lt;=$F$3,D520+G520-J520,0)</f>
        <v>0</v>
      </c>
      <c r="N520" s="598">
        <f>IF(A506&lt;=$F$3,E520+H520-K520,0)</f>
        <v>0</v>
      </c>
      <c r="O520" s="635">
        <f>IF(A506&lt;=$F$3,F520*Q520+G520*R520+H520*S520,0)</f>
        <v>0</v>
      </c>
      <c r="P520" s="636">
        <f>IF(A506&lt;=$F$3,I520*Q520+J520*R520+K520*S520,0)</f>
        <v>0</v>
      </c>
      <c r="Q520" s="637">
        <f t="shared" si="179"/>
        <v>52550.000000000044</v>
      </c>
      <c r="R520" s="638">
        <f t="shared" si="179"/>
        <v>81020.160000000062</v>
      </c>
      <c r="S520" s="639">
        <f t="shared" si="179"/>
        <v>84960.160000000062</v>
      </c>
      <c r="T520" s="637">
        <f>L520*$AH$6*AD$24</f>
        <v>0</v>
      </c>
      <c r="U520" s="640" t="e">
        <f>$AH$6*(1-AE$23)*((1+HLOOKUP($A$481,FC_Premissas!$D$5:$W$16,14,FALSE)^0.0833-1))*L520*12</f>
        <v>#REF!</v>
      </c>
      <c r="V520" s="638">
        <f>M520*$AP$6*AL$24</f>
        <v>0</v>
      </c>
      <c r="W520" s="669" t="e">
        <f>$AP$6*(1-AM$23)*((1+HLOOKUP($A$481,FC_Premissas!$D$5:$W$16,14,FALSE))^0.0833-1)*M520*12</f>
        <v>#REF!</v>
      </c>
      <c r="X520" s="637">
        <f>N520*$AX$6*AT$24</f>
        <v>0</v>
      </c>
      <c r="Y520" s="640" t="e">
        <f>$AX$6*(1-AU$23)*((1+HLOOKUP($A$481,FC_Premissas!$D$5:$W$16,14,FALSE))^0.0833-1)*N520*12</f>
        <v>#REF!</v>
      </c>
      <c r="Z520" s="638">
        <f t="shared" si="180"/>
        <v>0</v>
      </c>
      <c r="AA520" s="669" t="e">
        <f t="shared" si="180"/>
        <v>#REF!</v>
      </c>
      <c r="AB520" s="641"/>
    </row>
    <row r="521" spans="1:28" ht="11.25" hidden="1" customHeight="1" x14ac:dyDescent="0.2">
      <c r="A521" s="984"/>
      <c r="B521" s="633">
        <v>13</v>
      </c>
      <c r="C521" s="634">
        <f>IF(A506&lt;=$F$3,L495,0)</f>
        <v>0</v>
      </c>
      <c r="D521" s="598">
        <f>IF(A506&lt;=$F$3,M495,0)</f>
        <v>0</v>
      </c>
      <c r="E521" s="650">
        <f>IF(A506&lt;=$F$3,N495,0)</f>
        <v>0</v>
      </c>
      <c r="F521" s="634"/>
      <c r="G521" s="598"/>
      <c r="H521" s="598"/>
      <c r="I521" s="634"/>
      <c r="J521" s="598"/>
      <c r="K521" s="598">
        <v>0</v>
      </c>
      <c r="L521" s="634">
        <f>IF(A506&lt;=$F$3,C521+F521-I521,0)</f>
        <v>0</v>
      </c>
      <c r="M521" s="598">
        <f>IF(A506&lt;=$F$3,D521+G521-J521,0)</f>
        <v>0</v>
      </c>
      <c r="N521" s="598">
        <f>IF(A506&lt;=$F$3,E521+H521-K521,0)</f>
        <v>0</v>
      </c>
      <c r="O521" s="635">
        <f>IF(A506&lt;=$F$3,F521*Q521+G521*R521+H521*S521,0)</f>
        <v>0</v>
      </c>
      <c r="P521" s="636">
        <f>IF(A506&lt;=$F$3,I521*Q521+J521*R521+K521*S521,0)</f>
        <v>0</v>
      </c>
      <c r="Q521" s="637">
        <f t="shared" si="179"/>
        <v>52550.000000000044</v>
      </c>
      <c r="R521" s="638">
        <f t="shared" si="179"/>
        <v>81020.160000000062</v>
      </c>
      <c r="S521" s="639">
        <f t="shared" si="179"/>
        <v>84960.160000000062</v>
      </c>
      <c r="T521" s="637">
        <f>L521*$AH$6*AD$25</f>
        <v>0</v>
      </c>
      <c r="U521" s="640" t="e">
        <f>$AH$6*(1-AE$24)*((1+HLOOKUP($A$481,FC_Premissas!$D$5:$W$16,14,FALSE)^0.0833-1))*L521*12</f>
        <v>#REF!</v>
      </c>
      <c r="V521" s="638">
        <f>M521*$AP$6*AL$25</f>
        <v>0</v>
      </c>
      <c r="W521" s="669" t="e">
        <f>$AP$6*(1-AM$24)*((1+HLOOKUP($A$481,FC_Premissas!$D$5:$W$16,14,FALSE))^0.0833-1)*M521*12</f>
        <v>#REF!</v>
      </c>
      <c r="X521" s="637">
        <f>N521*$AX$6*AT$25</f>
        <v>0</v>
      </c>
      <c r="Y521" s="640" t="e">
        <f>$AX$6*(1-AU$24)*((1+HLOOKUP($A$481,FC_Premissas!$D$5:$W$16,14,FALSE))^0.0833-1)*N521*12</f>
        <v>#REF!</v>
      </c>
      <c r="Z521" s="638">
        <f t="shared" si="180"/>
        <v>0</v>
      </c>
      <c r="AA521" s="669" t="e">
        <f t="shared" si="180"/>
        <v>#REF!</v>
      </c>
      <c r="AB521" s="641"/>
    </row>
    <row r="522" spans="1:28" ht="11.25" hidden="1" customHeight="1" x14ac:dyDescent="0.2">
      <c r="A522" s="984"/>
      <c r="B522" s="633">
        <v>14</v>
      </c>
      <c r="C522" s="634">
        <f>IF(A506&lt;=$F$3,L496,0)</f>
        <v>0</v>
      </c>
      <c r="D522" s="598">
        <f>IF(A506&lt;=$F$3,M496,0)</f>
        <v>0</v>
      </c>
      <c r="E522" s="650">
        <f>IF(A506&lt;=$F$3,N496,0)</f>
        <v>0</v>
      </c>
      <c r="F522" s="634"/>
      <c r="G522" s="598"/>
      <c r="H522" s="598"/>
      <c r="I522" s="634"/>
      <c r="J522" s="598"/>
      <c r="K522" s="598"/>
      <c r="L522" s="634">
        <f>IF(A506&lt;=$F$3,C522+F522-I522,0)</f>
        <v>0</v>
      </c>
      <c r="M522" s="598">
        <f>IF(A506&lt;=$F$3,D522+G522-J522,0)</f>
        <v>0</v>
      </c>
      <c r="N522" s="598">
        <f>IF(A506&lt;=$F$3,E522+H522-K522,0)</f>
        <v>0</v>
      </c>
      <c r="O522" s="635">
        <f>IF(A506&lt;=$F$3,F522*Q522+G522*R522+H522*S522,0)</f>
        <v>0</v>
      </c>
      <c r="P522" s="636">
        <f>IF(A506&lt;=$F$3,I522*Q522+J522*R522+K522*S522,0)</f>
        <v>0</v>
      </c>
      <c r="Q522" s="637">
        <f t="shared" si="179"/>
        <v>52550.000000000044</v>
      </c>
      <c r="R522" s="638">
        <f t="shared" si="179"/>
        <v>81020.160000000062</v>
      </c>
      <c r="S522" s="639">
        <f t="shared" si="179"/>
        <v>84960.160000000062</v>
      </c>
      <c r="T522" s="637">
        <f>L522*$AH$6*AD$26</f>
        <v>0</v>
      </c>
      <c r="U522" s="640" t="e">
        <f>$AH$6*(1-AE$25)*((1+HLOOKUP($A$481,FC_Premissas!$D$5:$W$16,14,FALSE)^0.0833-1))*L522*12</f>
        <v>#REF!</v>
      </c>
      <c r="V522" s="638">
        <f>M522*$AP$6*AL$26</f>
        <v>0</v>
      </c>
      <c r="W522" s="669" t="e">
        <f>$AP$6*(1-AM$25)*((1+HLOOKUP($A$481,FC_Premissas!$D$5:$W$16,14,FALSE))^0.0833-1)*M522*12</f>
        <v>#REF!</v>
      </c>
      <c r="X522" s="637">
        <f>N522*$AX$6*AT$26</f>
        <v>0</v>
      </c>
      <c r="Y522" s="640" t="e">
        <f>$AX$6*(1-AU$25)*((1+HLOOKUP($A$481,FC_Premissas!$D$5:$W$16,14,FALSE))^0.0833-1)*N522*12</f>
        <v>#REF!</v>
      </c>
      <c r="Z522" s="638">
        <f t="shared" si="180"/>
        <v>0</v>
      </c>
      <c r="AA522" s="669" t="e">
        <f t="shared" si="180"/>
        <v>#REF!</v>
      </c>
      <c r="AB522" s="641"/>
    </row>
    <row r="523" spans="1:28" ht="11.25" hidden="1" customHeight="1" x14ac:dyDescent="0.2">
      <c r="A523" s="984"/>
      <c r="B523" s="633">
        <v>15</v>
      </c>
      <c r="C523" s="634">
        <f>IF(A506&lt;=$F$3,L497,0)</f>
        <v>0</v>
      </c>
      <c r="D523" s="598">
        <f>IF(A506&lt;=$F$3,M497,0)</f>
        <v>0</v>
      </c>
      <c r="E523" s="650">
        <f>IF(A506&lt;=$F$3,N497,0)</f>
        <v>0</v>
      </c>
      <c r="F523" s="634"/>
      <c r="G523" s="598"/>
      <c r="H523" s="598"/>
      <c r="I523" s="634"/>
      <c r="J523" s="598"/>
      <c r="K523" s="598"/>
      <c r="L523" s="634">
        <f>IF(A506&lt;=$F$3,C523+F523-I523,0)</f>
        <v>0</v>
      </c>
      <c r="M523" s="598">
        <f>IF(A506&lt;=$F$3,D523+G523-J523,0)</f>
        <v>0</v>
      </c>
      <c r="N523" s="598">
        <f>IF(A506&lt;=$F$3,E523+H523-K523,0)</f>
        <v>0</v>
      </c>
      <c r="O523" s="635">
        <f>IF(A506&lt;=$F$3,F523*Q523+G523*R523+H523*S523,0)</f>
        <v>0</v>
      </c>
      <c r="P523" s="636">
        <f>IF(A506&lt;=$F$3,I523*Q523+J523*R523+K523*S523,0)</f>
        <v>0</v>
      </c>
      <c r="Q523" s="637">
        <f t="shared" si="179"/>
        <v>52550.000000000044</v>
      </c>
      <c r="R523" s="638">
        <f t="shared" si="179"/>
        <v>81020.160000000062</v>
      </c>
      <c r="S523" s="639">
        <f t="shared" si="179"/>
        <v>84960.160000000062</v>
      </c>
      <c r="T523" s="637">
        <f t="shared" ref="T523:T528" si="181">L523*$AH$6*AD$27</f>
        <v>0</v>
      </c>
      <c r="U523" s="640" t="e">
        <f>$AH$6*(1-AE$26)*((1+HLOOKUP($A$481,FC_Premissas!$D$5:$W$16,14,FALSE)^0.0833-1))*L523*12</f>
        <v>#REF!</v>
      </c>
      <c r="V523" s="638">
        <f t="shared" ref="V523:V528" si="182">M523*$AP$6*AL$27</f>
        <v>0</v>
      </c>
      <c r="W523" s="669" t="e">
        <f>$AP$6*(1-AM$26)*((1+HLOOKUP($A$481,FC_Premissas!$D$5:$W$16,14,FALSE))^0.0833-1)*M523*12</f>
        <v>#REF!</v>
      </c>
      <c r="X523" s="637">
        <f t="shared" ref="X523:X528" si="183">N523*$AX$6*AT$27</f>
        <v>0</v>
      </c>
      <c r="Y523" s="640" t="e">
        <f>$AX$6*(1-AU$26)*((1+HLOOKUP($A$481,FC_Premissas!$D$5:$W$16,14,FALSE))^0.0833-1)*N523*12</f>
        <v>#REF!</v>
      </c>
      <c r="Z523" s="638">
        <f t="shared" si="180"/>
        <v>0</v>
      </c>
      <c r="AA523" s="640" t="e">
        <f t="shared" si="180"/>
        <v>#REF!</v>
      </c>
      <c r="AB523" s="641"/>
    </row>
    <row r="524" spans="1:28" hidden="1" x14ac:dyDescent="0.2">
      <c r="A524" s="984"/>
      <c r="B524" s="633">
        <v>16</v>
      </c>
      <c r="C524" s="634">
        <f>IF(A506&lt;=$F$3,L498,0)</f>
        <v>0</v>
      </c>
      <c r="D524" s="598">
        <f>IF(A506&lt;=$F$3,M498,0)</f>
        <v>0</v>
      </c>
      <c r="E524" s="650">
        <f>IF(A506&lt;=$F$3,N498,0)</f>
        <v>0</v>
      </c>
      <c r="F524" s="634"/>
      <c r="G524" s="598"/>
      <c r="H524" s="598"/>
      <c r="I524" s="634"/>
      <c r="J524" s="598"/>
      <c r="K524" s="598"/>
      <c r="L524" s="634">
        <f>IF(A506&lt;=$F$3,C524+F524-I524,0)</f>
        <v>0</v>
      </c>
      <c r="M524" s="598">
        <f>IF(A506&lt;=$F$3,D524+G524-J524,0)</f>
        <v>0</v>
      </c>
      <c r="N524" s="598">
        <f>IF(A506&lt;=$F$3,E524+H524-K524,0)</f>
        <v>0</v>
      </c>
      <c r="O524" s="635">
        <f>IF(A506&lt;=$F$3,F524*Q524+G524*R524+H524*S524,0)</f>
        <v>0</v>
      </c>
      <c r="P524" s="636">
        <f>IF(A506&lt;=$F$3,I524*Q524+J524*R524+K524*S524,0)</f>
        <v>0</v>
      </c>
      <c r="Q524" s="637">
        <f t="shared" ref="Q524:S528" si="184">Q499</f>
        <v>52550.000000000044</v>
      </c>
      <c r="R524" s="638">
        <f t="shared" si="184"/>
        <v>81020.160000000062</v>
      </c>
      <c r="S524" s="639">
        <f t="shared" si="184"/>
        <v>84960.160000000062</v>
      </c>
      <c r="T524" s="637">
        <f t="shared" si="181"/>
        <v>0</v>
      </c>
      <c r="U524" s="640" t="e">
        <f>$AH$6*(1-AE$27)*((1+HLOOKUP($A$481,FC_Premissas!$D$5:$W$16,14,FALSE)^0.0833-1))*L524*12</f>
        <v>#REF!</v>
      </c>
      <c r="V524" s="638">
        <f t="shared" si="182"/>
        <v>0</v>
      </c>
      <c r="W524" s="669" t="e">
        <f>$AP$6*(1-AM$27)*((1+HLOOKUP($A$481,FC_Premissas!$D$5:$W$16,14,FALSE))^0.0833-1)*M524*12</f>
        <v>#REF!</v>
      </c>
      <c r="X524" s="637">
        <f t="shared" si="183"/>
        <v>0</v>
      </c>
      <c r="Y524" s="640" t="e">
        <f>$AX$6*(1-AU$27)*((1+HLOOKUP($A$481,FC_Premissas!$D$5:$W$16,14,FALSE))^0.0833-1)*N524*12</f>
        <v>#REF!</v>
      </c>
      <c r="Z524" s="638">
        <f t="shared" si="180"/>
        <v>0</v>
      </c>
      <c r="AA524" s="640" t="e">
        <f t="shared" si="180"/>
        <v>#REF!</v>
      </c>
      <c r="AB524" s="641"/>
    </row>
    <row r="525" spans="1:28" hidden="1" x14ac:dyDescent="0.2">
      <c r="A525" s="984"/>
      <c r="B525" s="633">
        <v>17</v>
      </c>
      <c r="C525" s="634">
        <f>IF(A506&lt;=$F$3,L499,0)</f>
        <v>0</v>
      </c>
      <c r="D525" s="598">
        <f>IF(A506&lt;=$F$3,M499,0)</f>
        <v>0</v>
      </c>
      <c r="E525" s="650">
        <f>IF(A506&lt;=$F$3,N499,0)</f>
        <v>0</v>
      </c>
      <c r="F525" s="634"/>
      <c r="G525" s="598"/>
      <c r="H525" s="598"/>
      <c r="I525" s="634"/>
      <c r="J525" s="598"/>
      <c r="K525" s="598"/>
      <c r="L525" s="634">
        <f>IF(A506&lt;=$F$3,C525+F525-I525,0)</f>
        <v>0</v>
      </c>
      <c r="M525" s="598">
        <f>IF(A506&lt;=$F$3,D525+G525-J525,0)</f>
        <v>0</v>
      </c>
      <c r="N525" s="598">
        <f>IF(A506&lt;=$F$3,E525+H525-K525,0)</f>
        <v>0</v>
      </c>
      <c r="O525" s="635">
        <f>IF(A506&lt;=$F$3,F525*Q525+G525*R525+H525*S525,0)</f>
        <v>0</v>
      </c>
      <c r="P525" s="636">
        <f>IF(A506&lt;=$F$3,I525*Q525+J525*R525+K525*S525,0)</f>
        <v>0</v>
      </c>
      <c r="Q525" s="637">
        <f t="shared" si="184"/>
        <v>52550.000000000044</v>
      </c>
      <c r="R525" s="638">
        <f t="shared" si="184"/>
        <v>81020.160000000062</v>
      </c>
      <c r="S525" s="639">
        <f t="shared" si="184"/>
        <v>84960.160000000062</v>
      </c>
      <c r="T525" s="637">
        <f t="shared" si="181"/>
        <v>0</v>
      </c>
      <c r="U525" s="640" t="e">
        <f>$AH$6*(1-AE$28)*((1+HLOOKUP($A$481,FC_Premissas!$D$5:$W$16,14,FALSE)^0.0833-1))*L525*12</f>
        <v>#REF!</v>
      </c>
      <c r="V525" s="638">
        <f t="shared" si="182"/>
        <v>0</v>
      </c>
      <c r="W525" s="669" t="e">
        <f>$AP$6*(1-AM$28)*((1+HLOOKUP($A$481,FC_Premissas!$D$5:$W$16,14,FALSE))^0.0833-1)*M525*12</f>
        <v>#REF!</v>
      </c>
      <c r="X525" s="637">
        <f t="shared" si="183"/>
        <v>0</v>
      </c>
      <c r="Y525" s="640" t="e">
        <f>$AX$6*(1-AU$28)*((1+HLOOKUP($A$481,FC_Premissas!$D$5:$W$16,14,FALSE))^0.0833-1)*N525*12</f>
        <v>#REF!</v>
      </c>
      <c r="Z525" s="638">
        <f t="shared" si="180"/>
        <v>0</v>
      </c>
      <c r="AA525" s="640" t="e">
        <f t="shared" si="180"/>
        <v>#REF!</v>
      </c>
      <c r="AB525" s="641"/>
    </row>
    <row r="526" spans="1:28" hidden="1" x14ac:dyDescent="0.2">
      <c r="A526" s="984"/>
      <c r="B526" s="633">
        <v>18</v>
      </c>
      <c r="C526" s="634">
        <f>IF(A506&lt;=$F$3,L500,0)</f>
        <v>0</v>
      </c>
      <c r="D526" s="598">
        <f>IF(A506&lt;=$F$3,M500,0)</f>
        <v>0</v>
      </c>
      <c r="E526" s="650">
        <f>IF(A506&lt;=$F$3,N500,0)</f>
        <v>0</v>
      </c>
      <c r="F526" s="634"/>
      <c r="G526" s="598"/>
      <c r="H526" s="598"/>
      <c r="I526" s="634"/>
      <c r="J526" s="598"/>
      <c r="K526" s="598"/>
      <c r="L526" s="634">
        <f>IF(A506&lt;=$F$3,C526+F526-I526,0)</f>
        <v>0</v>
      </c>
      <c r="M526" s="598">
        <f>IF(A506&lt;=$F$3,D526+G526-J526,0)</f>
        <v>0</v>
      </c>
      <c r="N526" s="598">
        <f>IF(A506&lt;=$F$3,E526+H526-K526,0)</f>
        <v>0</v>
      </c>
      <c r="O526" s="635">
        <f>IF(A506&lt;=$F$3,F526*Q526+G526*R526+H526*S526,0)</f>
        <v>0</v>
      </c>
      <c r="P526" s="636">
        <f>IF(A506&lt;=$F$3,I526*Q526+J526*R526+K526*S526,0)</f>
        <v>0</v>
      </c>
      <c r="Q526" s="637">
        <f t="shared" si="184"/>
        <v>52550.000000000044</v>
      </c>
      <c r="R526" s="638">
        <f t="shared" si="184"/>
        <v>81020.160000000062</v>
      </c>
      <c r="S526" s="639">
        <f t="shared" si="184"/>
        <v>84960.160000000062</v>
      </c>
      <c r="T526" s="637">
        <f t="shared" si="181"/>
        <v>0</v>
      </c>
      <c r="U526" s="640" t="e">
        <f>$AH$6*(1-AE$29)*((1+HLOOKUP($A$481,FC_Premissas!$D$5:$W$16,14,FALSE)^0.0833-1))*L526*12</f>
        <v>#REF!</v>
      </c>
      <c r="V526" s="638">
        <f t="shared" si="182"/>
        <v>0</v>
      </c>
      <c r="W526" s="669" t="e">
        <f>$AP$6*(1-AM$29)*((1+HLOOKUP($A$481,FC_Premissas!$D$5:$W$16,14,FALSE))^0.0833-1)*M526*12</f>
        <v>#REF!</v>
      </c>
      <c r="X526" s="637">
        <f t="shared" si="183"/>
        <v>0</v>
      </c>
      <c r="Y526" s="640" t="e">
        <f>$AX$6*(1-AU$29)*((1+HLOOKUP($A$481,FC_Premissas!$D$5:$W$16,14,FALSE))^0.0833-1)*N526*12</f>
        <v>#REF!</v>
      </c>
      <c r="Z526" s="638">
        <f t="shared" si="180"/>
        <v>0</v>
      </c>
      <c r="AA526" s="640" t="e">
        <f t="shared" si="180"/>
        <v>#REF!</v>
      </c>
      <c r="AB526" s="641"/>
    </row>
    <row r="527" spans="1:28" hidden="1" x14ac:dyDescent="0.2">
      <c r="A527" s="984"/>
      <c r="B527" s="633">
        <v>19</v>
      </c>
      <c r="C527" s="634">
        <f>IF(A506&lt;=$F$3,L501,0)</f>
        <v>0</v>
      </c>
      <c r="D527" s="598">
        <f>IF(A506&lt;=$F$3,M501,0)</f>
        <v>0</v>
      </c>
      <c r="E527" s="650">
        <f>IF(A506&lt;=$F$3,N501,0)</f>
        <v>0</v>
      </c>
      <c r="F527" s="634"/>
      <c r="G527" s="598"/>
      <c r="H527" s="598"/>
      <c r="I527" s="634"/>
      <c r="J527" s="598"/>
      <c r="K527" s="598"/>
      <c r="L527" s="634">
        <f>IF(A506&lt;=$F$3,C527+F527-I527,0)</f>
        <v>0</v>
      </c>
      <c r="M527" s="598">
        <f>IF(A506&lt;=$F$3,D527+G527-J527,0)</f>
        <v>0</v>
      </c>
      <c r="N527" s="598">
        <f>IF(A506&lt;=$F$3,E527+H527-K527,0)</f>
        <v>0</v>
      </c>
      <c r="O527" s="635">
        <f>IF(A506&lt;=$F$3,F527*Q527+G527*R527+H527*S527,0)</f>
        <v>0</v>
      </c>
      <c r="P527" s="636">
        <f>IF(A506&lt;=$F$3,I527*Q527+J527*R527+K527*S527,0)</f>
        <v>0</v>
      </c>
      <c r="Q527" s="637">
        <f t="shared" si="184"/>
        <v>52550.000000000044</v>
      </c>
      <c r="R527" s="638">
        <f t="shared" si="184"/>
        <v>81020.160000000062</v>
      </c>
      <c r="S527" s="639">
        <f t="shared" si="184"/>
        <v>84960.160000000062</v>
      </c>
      <c r="T527" s="637">
        <f t="shared" si="181"/>
        <v>0</v>
      </c>
      <c r="U527" s="640" t="e">
        <f>$AH$6*(1-AE$30)*((1+HLOOKUP($A$481,FC_Premissas!$D$5:$W$16,14,FALSE)^0.0833-1))*L527*12</f>
        <v>#REF!</v>
      </c>
      <c r="V527" s="638">
        <f t="shared" si="182"/>
        <v>0</v>
      </c>
      <c r="W527" s="669" t="e">
        <f>$AP$6*(1-AM$30)*((1+HLOOKUP($A$481,FC_Premissas!$D$5:$W$16,14,FALSE))^0.0833-1)*M527*12</f>
        <v>#REF!</v>
      </c>
      <c r="X527" s="637">
        <f t="shared" si="183"/>
        <v>0</v>
      </c>
      <c r="Y527" s="640" t="e">
        <f>$AX$6*(1-AU$30)*((1+HLOOKUP($A$481,FC_Premissas!$D$5:$W$16,14,FALSE))^0.0833-1)*N527*12</f>
        <v>#REF!</v>
      </c>
      <c r="Z527" s="638">
        <f t="shared" si="180"/>
        <v>0</v>
      </c>
      <c r="AA527" s="640" t="e">
        <f t="shared" si="180"/>
        <v>#REF!</v>
      </c>
      <c r="AB527" s="641"/>
    </row>
    <row r="528" spans="1:28" hidden="1" x14ac:dyDescent="0.2">
      <c r="A528" s="984"/>
      <c r="B528" s="633">
        <v>20</v>
      </c>
      <c r="C528" s="616">
        <f>IF(A506&lt;=$F$3,L502,0)</f>
        <v>0</v>
      </c>
      <c r="D528" s="617">
        <f>IF(A506&lt;=$F$3,M502,0)</f>
        <v>0</v>
      </c>
      <c r="E528" s="650">
        <f>IF(A506&lt;=$F$3,N502,0)</f>
        <v>0</v>
      </c>
      <c r="F528" s="616"/>
      <c r="G528" s="617"/>
      <c r="H528" s="598"/>
      <c r="I528" s="616"/>
      <c r="J528" s="617"/>
      <c r="K528" s="598"/>
      <c r="L528" s="616">
        <f>IF(A506&lt;=$F$3,C528+F528-I528,0)</f>
        <v>0</v>
      </c>
      <c r="M528" s="617">
        <f>IF(A506&lt;=$F$3,D528+G528-J528,0)</f>
        <v>0</v>
      </c>
      <c r="N528" s="598">
        <f>IF(A506&lt;=$F$3,E528+H528-K528,0)</f>
        <v>0</v>
      </c>
      <c r="O528" s="635">
        <f>IF(A506&lt;=$F$3,F528*Q528+G528*R528+H528*S528,0)</f>
        <v>0</v>
      </c>
      <c r="P528" s="636">
        <f>IF(A506&lt;=$F$3,I528*Q528+J528*R528+K528*S528,0)</f>
        <v>0</v>
      </c>
      <c r="Q528" s="651">
        <f t="shared" si="184"/>
        <v>52550.000000000044</v>
      </c>
      <c r="R528" s="652">
        <f t="shared" si="184"/>
        <v>81020.160000000062</v>
      </c>
      <c r="S528" s="653">
        <f t="shared" si="184"/>
        <v>84960.160000000062</v>
      </c>
      <c r="T528" s="651">
        <f t="shared" si="181"/>
        <v>0</v>
      </c>
      <c r="U528" s="654" t="e">
        <f>$AH$6*(1-AE$31)*((1+HLOOKUP($A$481,FC_Premissas!$D$5:$W$16,14,FALSE)^0.0833-1))*L528*12</f>
        <v>#REF!</v>
      </c>
      <c r="V528" s="652">
        <f t="shared" si="182"/>
        <v>0</v>
      </c>
      <c r="W528" s="678" t="e">
        <f>$AP$6*(1-AM$31)*((1+HLOOKUP($A$481,FC_Premissas!$D$5:$W$16,14,FALSE))^0.0833-1)*M528*12</f>
        <v>#REF!</v>
      </c>
      <c r="X528" s="651">
        <f t="shared" si="183"/>
        <v>0</v>
      </c>
      <c r="Y528" s="654" t="e">
        <f>$AX$6*(1-AU$31)*((1+HLOOKUP($A$481,FC_Premissas!$D$5:$W$16,14,FALSE))^0.0833-1)*N528*12</f>
        <v>#REF!</v>
      </c>
      <c r="Z528" s="652">
        <f t="shared" si="180"/>
        <v>0</v>
      </c>
      <c r="AA528" s="654" t="e">
        <f t="shared" si="180"/>
        <v>#REF!</v>
      </c>
      <c r="AB528" s="641"/>
    </row>
    <row r="529" spans="1:28" hidden="1" x14ac:dyDescent="0.2">
      <c r="A529" s="984"/>
      <c r="B529" s="655" t="s">
        <v>1228</v>
      </c>
      <c r="C529" s="656">
        <f t="shared" ref="C529:P529" si="185">SUM(C508:C528)</f>
        <v>0</v>
      </c>
      <c r="D529" s="657">
        <f t="shared" si="185"/>
        <v>0</v>
      </c>
      <c r="E529" s="658">
        <f t="shared" si="185"/>
        <v>0</v>
      </c>
      <c r="F529" s="656">
        <f t="shared" si="185"/>
        <v>0</v>
      </c>
      <c r="G529" s="657">
        <f t="shared" si="185"/>
        <v>0</v>
      </c>
      <c r="H529" s="658">
        <f t="shared" si="185"/>
        <v>0</v>
      </c>
      <c r="I529" s="656">
        <f t="shared" si="185"/>
        <v>0</v>
      </c>
      <c r="J529" s="657">
        <f t="shared" si="185"/>
        <v>0</v>
      </c>
      <c r="K529" s="658">
        <f t="shared" si="185"/>
        <v>0</v>
      </c>
      <c r="L529" s="656">
        <f t="shared" si="185"/>
        <v>0</v>
      </c>
      <c r="M529" s="657">
        <f t="shared" si="185"/>
        <v>0</v>
      </c>
      <c r="N529" s="657">
        <f t="shared" si="185"/>
        <v>0</v>
      </c>
      <c r="O529" s="659">
        <f t="shared" si="185"/>
        <v>0</v>
      </c>
      <c r="P529" s="660">
        <f t="shared" si="185"/>
        <v>0</v>
      </c>
      <c r="Q529" s="638"/>
      <c r="R529" s="638"/>
      <c r="S529" s="638"/>
      <c r="T529" s="661">
        <f t="shared" ref="T529:AA529" si="186">SUM(T508:T528)</f>
        <v>0</v>
      </c>
      <c r="U529" s="662" t="e">
        <f t="shared" si="186"/>
        <v>#REF!</v>
      </c>
      <c r="V529" s="663">
        <f t="shared" si="186"/>
        <v>0</v>
      </c>
      <c r="W529" s="662" t="e">
        <f t="shared" si="186"/>
        <v>#REF!</v>
      </c>
      <c r="X529" s="663">
        <f t="shared" si="186"/>
        <v>0</v>
      </c>
      <c r="Y529" s="662" t="e">
        <f t="shared" si="186"/>
        <v>#REF!</v>
      </c>
      <c r="Z529" s="663">
        <f t="shared" si="186"/>
        <v>0</v>
      </c>
      <c r="AA529" s="664" t="e">
        <f t="shared" si="186"/>
        <v>#REF!</v>
      </c>
      <c r="AB529" s="641"/>
    </row>
    <row r="530" spans="1:28" hidden="1" x14ac:dyDescent="0.2">
      <c r="A530" s="985"/>
      <c r="B530" s="977" t="s">
        <v>1229</v>
      </c>
      <c r="C530" s="977"/>
      <c r="D530" s="977"/>
      <c r="E530" s="666" t="e">
        <f>(L530*L529+M530*M529+N530*N529)/(L529+M529+N529)</f>
        <v>#DIV/0!</v>
      </c>
      <c r="F530" s="665" t="s">
        <v>140</v>
      </c>
      <c r="G530" s="665"/>
      <c r="H530" s="665"/>
      <c r="I530" s="665"/>
      <c r="J530" s="665"/>
      <c r="K530" s="665"/>
      <c r="L530" s="887">
        <f>IF(L529=0,0,(SUMPRODUCT(L508:L528,$B508:$B528)/L529))</f>
        <v>0</v>
      </c>
      <c r="M530" s="887">
        <f>IF(M529=0,0,(SUMPRODUCT(M508:M528,$B508:$B528)/M529))</f>
        <v>0</v>
      </c>
      <c r="N530" s="887">
        <f>IF(N529=0,0,ROUND(SUMPRODUCT(N508:N528,$B508:$B528)/N529,0))</f>
        <v>0</v>
      </c>
      <c r="O530" s="667"/>
      <c r="P530" s="668"/>
      <c r="Q530" s="638"/>
      <c r="R530" s="638"/>
      <c r="S530" s="638"/>
      <c r="T530" s="638"/>
      <c r="U530" s="669"/>
      <c r="V530" s="638"/>
      <c r="W530" s="669"/>
      <c r="X530" s="638"/>
      <c r="Y530" s="669"/>
      <c r="Z530" s="638"/>
      <c r="AA530" s="669"/>
    </row>
    <row r="531" spans="1:28" ht="12.75" hidden="1" customHeight="1" x14ac:dyDescent="0.2">
      <c r="A531" s="983">
        <f>A506+1</f>
        <v>22</v>
      </c>
      <c r="B531" s="986" t="s">
        <v>1077</v>
      </c>
      <c r="C531" s="988" t="s">
        <v>1202</v>
      </c>
      <c r="D531" s="989"/>
      <c r="E531" s="990"/>
      <c r="F531" s="991" t="s">
        <v>1203</v>
      </c>
      <c r="G531" s="992"/>
      <c r="H531" s="993"/>
      <c r="I531" s="991" t="s">
        <v>1204</v>
      </c>
      <c r="J531" s="992"/>
      <c r="K531" s="993"/>
      <c r="L531" s="991" t="s">
        <v>1205</v>
      </c>
      <c r="M531" s="992"/>
      <c r="N531" s="992"/>
      <c r="O531" s="978" t="s">
        <v>1206</v>
      </c>
      <c r="P531" s="979"/>
      <c r="Q531" s="980" t="s">
        <v>1207</v>
      </c>
      <c r="R531" s="981"/>
      <c r="S531" s="982"/>
      <c r="T531" s="607" t="s">
        <v>1208</v>
      </c>
      <c r="U531" s="609" t="s">
        <v>1209</v>
      </c>
      <c r="V531" s="608" t="s">
        <v>1210</v>
      </c>
      <c r="W531" s="610" t="s">
        <v>1211</v>
      </c>
      <c r="X531" s="607" t="s">
        <v>1210</v>
      </c>
      <c r="Y531" s="609" t="s">
        <v>1211</v>
      </c>
      <c r="Z531" s="607" t="s">
        <v>1210</v>
      </c>
      <c r="AA531" s="609" t="s">
        <v>1211</v>
      </c>
    </row>
    <row r="532" spans="1:28" hidden="1" x14ac:dyDescent="0.2">
      <c r="A532" s="984"/>
      <c r="B532" s="987"/>
      <c r="C532" s="616" t="str">
        <f>$C$7</f>
        <v>Mini</v>
      </c>
      <c r="D532" s="617" t="str">
        <f>$D$7</f>
        <v>Midi</v>
      </c>
      <c r="E532" s="617" t="str">
        <f>$E$7</f>
        <v>Básico</v>
      </c>
      <c r="F532" s="616" t="str">
        <f>$C$7</f>
        <v>Mini</v>
      </c>
      <c r="G532" s="617" t="str">
        <f>$D$7</f>
        <v>Midi</v>
      </c>
      <c r="H532" s="617" t="str">
        <f>$E$7</f>
        <v>Básico</v>
      </c>
      <c r="I532" s="616" t="str">
        <f>$C$7</f>
        <v>Mini</v>
      </c>
      <c r="J532" s="617" t="str">
        <f>$D$7</f>
        <v>Midi</v>
      </c>
      <c r="K532" s="617" t="str">
        <f>$E$7</f>
        <v>Básico</v>
      </c>
      <c r="L532" s="616" t="str">
        <f>$C$7</f>
        <v>Mini</v>
      </c>
      <c r="M532" s="617" t="str">
        <f>$D$7</f>
        <v>Midi</v>
      </c>
      <c r="N532" s="617" t="str">
        <f>$E$7</f>
        <v>Básico</v>
      </c>
      <c r="O532" s="667" t="s">
        <v>1203</v>
      </c>
      <c r="P532" s="668" t="s">
        <v>1204</v>
      </c>
      <c r="Q532" s="620" t="str">
        <f>C532</f>
        <v>Mini</v>
      </c>
      <c r="R532" s="621" t="str">
        <f>D532</f>
        <v>Midi</v>
      </c>
      <c r="S532" s="622" t="str">
        <f>E532</f>
        <v>Básico</v>
      </c>
      <c r="T532" s="623" t="str">
        <f>C532</f>
        <v>Mini</v>
      </c>
      <c r="U532" s="624" t="str">
        <f>C532</f>
        <v>Mini</v>
      </c>
      <c r="V532" s="625" t="str">
        <f>D532</f>
        <v>Midi</v>
      </c>
      <c r="W532" s="626" t="str">
        <f>D532</f>
        <v>Midi</v>
      </c>
      <c r="X532" s="623" t="str">
        <f>E532</f>
        <v>Básico</v>
      </c>
      <c r="Y532" s="624" t="str">
        <f>E532</f>
        <v>Básico</v>
      </c>
      <c r="Z532" s="627" t="s">
        <v>1218</v>
      </c>
      <c r="AA532" s="628" t="s">
        <v>1218</v>
      </c>
    </row>
    <row r="533" spans="1:28" hidden="1" x14ac:dyDescent="0.2">
      <c r="A533" s="984"/>
      <c r="B533" s="633">
        <v>0</v>
      </c>
      <c r="C533" s="634">
        <v>0</v>
      </c>
      <c r="F533" s="679"/>
      <c r="G533" s="680"/>
      <c r="H533" s="680"/>
      <c r="I533" s="679"/>
      <c r="J533" s="680"/>
      <c r="K533" s="680"/>
      <c r="L533" s="634">
        <f>IF(A531&lt;=$F$3,C533+F533-I533,0)</f>
        <v>0</v>
      </c>
      <c r="M533" s="598">
        <f>IF(A531&lt;=$F$3,D533+G533-J533,0)</f>
        <v>0</v>
      </c>
      <c r="N533" s="598">
        <f>IF(A531&lt;=$F$3,E533+H533-K533,0)</f>
        <v>0</v>
      </c>
      <c r="O533" s="635">
        <f>IF(A531&lt;=$F$3,F533*Q533+G533*R533+H533*S533,0)</f>
        <v>0</v>
      </c>
      <c r="P533" s="636">
        <f>IF(A531&lt;=$F$3,I533*Q533+J533*R533+K533*S533,0)</f>
        <v>0</v>
      </c>
      <c r="Q533" s="637">
        <f t="shared" ref="Q533:S548" si="187">Q508</f>
        <v>525500</v>
      </c>
      <c r="R533" s="638">
        <f t="shared" si="187"/>
        <v>703800</v>
      </c>
      <c r="S533" s="639">
        <f t="shared" si="187"/>
        <v>743200</v>
      </c>
      <c r="T533" s="637">
        <f>L533*$AH$6*AD$12</f>
        <v>0</v>
      </c>
      <c r="U533" s="640" t="e">
        <f>$AH$6*(1-AE$11)*((1+HLOOKUP($A$481,FC_Premissas!$D$5:$W$16,14,FALSE)^0.0833-1))*L533*12</f>
        <v>#REF!</v>
      </c>
      <c r="V533" s="638">
        <f>M533*$AP$6*AL$12</f>
        <v>0</v>
      </c>
      <c r="W533" s="669" t="e">
        <f>$AP$6*(1-AM$11)*((1+HLOOKUP($A$481,FC_Premissas!$D$5:$W$16,14,FALSE)^0.0833-1))*M533*12</f>
        <v>#REF!</v>
      </c>
      <c r="X533" s="637">
        <f>N533*$AX$6*AT$12</f>
        <v>0</v>
      </c>
      <c r="Y533" s="640" t="e">
        <f>$AX$6*(1-AU$11)*((1+HLOOKUP($A$481,FC_Premissas!$D$5:$W$16,14,FALSE)^0.0833-1))*N533*12</f>
        <v>#REF!</v>
      </c>
      <c r="Z533" s="638">
        <f t="shared" ref="Z533:AA553" si="188">T533+V533+X533</f>
        <v>0</v>
      </c>
      <c r="AA533" s="669" t="e">
        <f t="shared" si="188"/>
        <v>#REF!</v>
      </c>
      <c r="AB533" s="641"/>
    </row>
    <row r="534" spans="1:28" hidden="1" x14ac:dyDescent="0.2">
      <c r="A534" s="984"/>
      <c r="B534" s="633">
        <v>1</v>
      </c>
      <c r="C534" s="634">
        <f>IF(A531&lt;=$F$3,L508,0)</f>
        <v>0</v>
      </c>
      <c r="D534" s="598">
        <f>IF(A531&lt;=$F$3,M508,0)</f>
        <v>0</v>
      </c>
      <c r="E534" s="598">
        <f>IF(A531&lt;=$F$3,N508,0)</f>
        <v>0</v>
      </c>
      <c r="F534" s="679"/>
      <c r="G534" s="680"/>
      <c r="H534" s="680"/>
      <c r="I534" s="681"/>
      <c r="J534" s="680"/>
      <c r="K534" s="680"/>
      <c r="L534" s="634">
        <f>IF(A531&lt;=$F$3,C534+F534-I534,0)</f>
        <v>0</v>
      </c>
      <c r="M534" s="598">
        <f>IF(A531&lt;=$F$3,D534+G534-J534,0)</f>
        <v>0</v>
      </c>
      <c r="N534" s="598">
        <f>IF(A531&lt;=$F$3,E534+H534-K534,0)</f>
        <v>0</v>
      </c>
      <c r="O534" s="635">
        <f>IF(A531&lt;=$F$3,F534*Q534+G534*R534+H534*S534,0)</f>
        <v>0</v>
      </c>
      <c r="P534" s="636">
        <f>IF(A531&lt;=$F$3,I534*Q534+J534*R534+K534*S534,0)</f>
        <v>0</v>
      </c>
      <c r="Q534" s="637">
        <f t="shared" si="187"/>
        <v>439509.09090909094</v>
      </c>
      <c r="R534" s="638">
        <f t="shared" si="187"/>
        <v>590567.30181818188</v>
      </c>
      <c r="S534" s="639">
        <f t="shared" si="187"/>
        <v>623520.02909090917</v>
      </c>
      <c r="T534" s="637">
        <f>L534*$AH$6*AD$13</f>
        <v>0</v>
      </c>
      <c r="U534" s="640" t="e">
        <f>$AH$6*(1-AE$12)*((1+HLOOKUP($A$481,FC_Premissas!$D$5:$W$16,14,FALSE)^0.0833-1))*L534*12</f>
        <v>#REF!</v>
      </c>
      <c r="V534" s="638">
        <f>M534*$AP$6*AL$13</f>
        <v>0</v>
      </c>
      <c r="W534" s="669" t="e">
        <f>$AP$6*(1-AM$12)*((1+HLOOKUP($A$481,FC_Premissas!$D$5:$W$16,14,FALSE))^0.0833-1)*M534*12</f>
        <v>#REF!</v>
      </c>
      <c r="X534" s="637">
        <f>N534*$AX$6*AT$13</f>
        <v>0</v>
      </c>
      <c r="Y534" s="640" t="e">
        <f>$AX$6*(1-AU$12)*((1+HLOOKUP($A$481,FC_Premissas!$D$5:$W$16,14,FALSE))^0.0833-1)*N534*12</f>
        <v>#REF!</v>
      </c>
      <c r="Z534" s="638">
        <f t="shared" si="188"/>
        <v>0</v>
      </c>
      <c r="AA534" s="669" t="e">
        <f t="shared" si="188"/>
        <v>#REF!</v>
      </c>
      <c r="AB534" s="641"/>
    </row>
    <row r="535" spans="1:28" hidden="1" x14ac:dyDescent="0.2">
      <c r="A535" s="984"/>
      <c r="B535" s="633">
        <v>2</v>
      </c>
      <c r="C535" s="634">
        <f>IF(A531&lt;=$F$3,L509,0)</f>
        <v>0</v>
      </c>
      <c r="D535" s="598">
        <f>IF(A531&lt;=$F$3,M509,0)</f>
        <v>0</v>
      </c>
      <c r="E535" s="598">
        <f>IF(A531&lt;=$F$3,N509,0)</f>
        <v>0</v>
      </c>
      <c r="F535" s="679"/>
      <c r="G535" s="680"/>
      <c r="H535" s="680"/>
      <c r="I535" s="679"/>
      <c r="J535" s="680"/>
      <c r="K535" s="680"/>
      <c r="L535" s="634">
        <f>IF(A531&lt;=$F$3,C535+F535-I535,0)</f>
        <v>0</v>
      </c>
      <c r="M535" s="598">
        <f>IF(A531&lt;=$F$3,D535+G535-J535,0)</f>
        <v>0</v>
      </c>
      <c r="N535" s="598">
        <f>IF(A531&lt;=$F$3,E535+H535-K535,0)</f>
        <v>0</v>
      </c>
      <c r="O535" s="635">
        <f>IF(A531&lt;=$F$3,F535*Q535+G535*R535+H535*S535,0)</f>
        <v>0</v>
      </c>
      <c r="P535" s="636">
        <f>IF(A531&lt;=$F$3,I535*Q535+J535*R535+K535*S535,0)</f>
        <v>0</v>
      </c>
      <c r="Q535" s="637">
        <f t="shared" si="187"/>
        <v>362117.27272727271</v>
      </c>
      <c r="R535" s="638">
        <f t="shared" si="187"/>
        <v>488657.87345454545</v>
      </c>
      <c r="S535" s="639">
        <f t="shared" si="187"/>
        <v>515808.05527272727</v>
      </c>
      <c r="T535" s="637">
        <f>L535*$AH$6*AD$14</f>
        <v>0</v>
      </c>
      <c r="U535" s="640" t="e">
        <f>$AH$6*(1-AE$13)*((1+HLOOKUP($A$481,FC_Premissas!$D$5:$W$16,14,FALSE)^0.0833-1))*L535*12</f>
        <v>#REF!</v>
      </c>
      <c r="V535" s="638">
        <f>M535*$AP$6*AL$14</f>
        <v>0</v>
      </c>
      <c r="W535" s="669" t="e">
        <f>$AP$6*(1-AM$13)*((1+HLOOKUP($A$481,FC_Premissas!$D$5:$W$16,14,FALSE))^0.0833-1)*M535*12</f>
        <v>#REF!</v>
      </c>
      <c r="X535" s="637">
        <f>N535*$AX$6*AT$14</f>
        <v>0</v>
      </c>
      <c r="Y535" s="640" t="e">
        <f>$AX$6*(1-AU$13)*((1+HLOOKUP($A$481,FC_Premissas!$D$5:$W$16,14,FALSE))^0.0833-1)*N535*12</f>
        <v>#REF!</v>
      </c>
      <c r="Z535" s="638">
        <f t="shared" si="188"/>
        <v>0</v>
      </c>
      <c r="AA535" s="669" t="e">
        <f t="shared" si="188"/>
        <v>#REF!</v>
      </c>
      <c r="AB535" s="641"/>
    </row>
    <row r="536" spans="1:28" hidden="1" x14ac:dyDescent="0.2">
      <c r="A536" s="984"/>
      <c r="B536" s="633">
        <v>3</v>
      </c>
      <c r="C536" s="634">
        <f>IF(A531&lt;=$F$3,L510,0)</f>
        <v>0</v>
      </c>
      <c r="D536" s="598">
        <f>IF(A531&lt;=$F$3,M510,0)</f>
        <v>0</v>
      </c>
      <c r="E536" s="598">
        <f>IF(A531&lt;=$F$3,N510,0)</f>
        <v>0</v>
      </c>
      <c r="F536" s="679"/>
      <c r="G536" s="680"/>
      <c r="H536" s="680"/>
      <c r="I536" s="679"/>
      <c r="J536" s="680"/>
      <c r="K536" s="680"/>
      <c r="L536" s="634">
        <f>IF(A531&lt;=$F$3,C536+F536-I536,0)</f>
        <v>0</v>
      </c>
      <c r="M536" s="598">
        <f>IF(A531&lt;=$F$3,D536+G536-J536,0)</f>
        <v>0</v>
      </c>
      <c r="N536" s="598">
        <f>IF(A531&lt;=$F$3,E536+H536-K536,0)</f>
        <v>0</v>
      </c>
      <c r="O536" s="635">
        <f>IF(A531&lt;=$F$3,F536*Q536+G536*R536+H536*S536,0)</f>
        <v>0</v>
      </c>
      <c r="P536" s="636">
        <f>IF(A531&lt;=$F$3,I536*Q536+J536*R536+K536*S536,0)</f>
        <v>0</v>
      </c>
      <c r="Q536" s="637">
        <f t="shared" si="187"/>
        <v>293324.54545454541</v>
      </c>
      <c r="R536" s="638">
        <f t="shared" si="187"/>
        <v>398071.71490909089</v>
      </c>
      <c r="S536" s="639">
        <f t="shared" si="187"/>
        <v>420064.07854545448</v>
      </c>
      <c r="T536" s="637">
        <f>L536*$AH$6*AD$15</f>
        <v>0</v>
      </c>
      <c r="U536" s="640" t="e">
        <f>$AH$6*(1-AE$14)*((1+HLOOKUP($A$481,FC_Premissas!$D$5:$W$16,14,FALSE)^0.0833-1))*L536*12</f>
        <v>#REF!</v>
      </c>
      <c r="V536" s="638">
        <f>M536*$AP$6*AL$15</f>
        <v>0</v>
      </c>
      <c r="W536" s="669" t="e">
        <f>$AP$6*(1-AM$14)*((1+HLOOKUP($A$481,FC_Premissas!$D$5:$W$16,14,FALSE))^0.0833-1)*M536*12</f>
        <v>#REF!</v>
      </c>
      <c r="X536" s="637">
        <f>N536*$AX$6*AT$15</f>
        <v>0</v>
      </c>
      <c r="Y536" s="640" t="e">
        <f>$AX$6*(1-AU$14)*((1+HLOOKUP($A$481,FC_Premissas!$D$5:$W$16,14,FALSE))^0.0833-1)*N536*12</f>
        <v>#REF!</v>
      </c>
      <c r="Z536" s="638">
        <f t="shared" si="188"/>
        <v>0</v>
      </c>
      <c r="AA536" s="669" t="e">
        <f t="shared" si="188"/>
        <v>#REF!</v>
      </c>
      <c r="AB536" s="641"/>
    </row>
    <row r="537" spans="1:28" hidden="1" x14ac:dyDescent="0.2">
      <c r="A537" s="984"/>
      <c r="B537" s="633">
        <v>4</v>
      </c>
      <c r="C537" s="634">
        <f>IF(A531&lt;=$F$3,L511,0)</f>
        <v>0</v>
      </c>
      <c r="D537" s="598">
        <f>IF(A531&lt;=$F$3,M511,0)</f>
        <v>0</v>
      </c>
      <c r="E537" s="598">
        <f>IF(A531&lt;=$F$3,N511,0)</f>
        <v>0</v>
      </c>
      <c r="F537" s="679"/>
      <c r="G537" s="680"/>
      <c r="H537" s="680"/>
      <c r="I537" s="679"/>
      <c r="J537" s="680"/>
      <c r="K537" s="680"/>
      <c r="L537" s="634">
        <f>IF(A531&lt;=$F$3,C537+F537-I537,0)</f>
        <v>0</v>
      </c>
      <c r="M537" s="598">
        <f>IF(A531&lt;=$F$3,D537+G537-J537,0)</f>
        <v>0</v>
      </c>
      <c r="N537" s="598">
        <f>IF(A531&lt;=$F$3,E537+H537-K537,0)</f>
        <v>0</v>
      </c>
      <c r="O537" s="635">
        <f>IF(A531&lt;=$F$3,F537*Q537+G537*R537+H537*S537,0)</f>
        <v>0</v>
      </c>
      <c r="P537" s="636">
        <f>IF(A531&lt;=$F$3,I537*Q537+J537*R537+K537*S537,0)</f>
        <v>0</v>
      </c>
      <c r="Q537" s="637">
        <f t="shared" si="187"/>
        <v>233130.90909090909</v>
      </c>
      <c r="R537" s="638">
        <f t="shared" si="187"/>
        <v>318808.82618181815</v>
      </c>
      <c r="S537" s="639">
        <f t="shared" si="187"/>
        <v>336288.09890909091</v>
      </c>
      <c r="T537" s="637">
        <f>L537*$AH$6*AD$16</f>
        <v>0</v>
      </c>
      <c r="U537" s="640" t="e">
        <f>$AH$6*(1-AE$15)*((1+HLOOKUP($A$481,FC_Premissas!$D$5:$W$16,14,FALSE)^0.0833-1))*L537*12</f>
        <v>#REF!</v>
      </c>
      <c r="V537" s="638">
        <f>M537*$AP$6*AL$16</f>
        <v>0</v>
      </c>
      <c r="W537" s="669" t="e">
        <f>$AP$6*(1-AM$15)*((1+HLOOKUP($A$481,FC_Premissas!$D$5:$W$16,14,FALSE))^0.0833-1)*M537*12</f>
        <v>#REF!</v>
      </c>
      <c r="X537" s="637">
        <f>N537*$AX$6*AT$16</f>
        <v>0</v>
      </c>
      <c r="Y537" s="640" t="e">
        <f>$AX$6*(1-AU$15)*((1+HLOOKUP($A$481,FC_Premissas!$D$5:$W$16,14,FALSE))^0.0833-1)*N537*12</f>
        <v>#REF!</v>
      </c>
      <c r="Z537" s="638">
        <f t="shared" si="188"/>
        <v>0</v>
      </c>
      <c r="AA537" s="669" t="e">
        <f t="shared" si="188"/>
        <v>#REF!</v>
      </c>
      <c r="AB537" s="641"/>
    </row>
    <row r="538" spans="1:28" hidden="1" x14ac:dyDescent="0.2">
      <c r="A538" s="984"/>
      <c r="B538" s="633">
        <v>5</v>
      </c>
      <c r="C538" s="634">
        <f>IF(A531&lt;=$F$3,L512,0)</f>
        <v>0</v>
      </c>
      <c r="D538" s="598">
        <f>IF(A531&lt;=$F$3,M512,0)</f>
        <v>0</v>
      </c>
      <c r="E538" s="598">
        <f>IF(A531&lt;=$F$3,N512,0)</f>
        <v>0</v>
      </c>
      <c r="F538" s="679"/>
      <c r="G538" s="680"/>
      <c r="H538" s="680"/>
      <c r="I538" s="679"/>
      <c r="J538" s="680"/>
      <c r="K538" s="680"/>
      <c r="L538" s="634">
        <f>IF(A531&lt;=$F$3,C538+F538-I538,0)</f>
        <v>0</v>
      </c>
      <c r="M538" s="598">
        <f>IF(A531&lt;=$F$3,D538+G538-J538,0)</f>
        <v>0</v>
      </c>
      <c r="N538" s="598">
        <f>IF(A531&lt;=$F$3,E538+H538-K538,0)</f>
        <v>0</v>
      </c>
      <c r="O538" s="635">
        <f>IF(A531&lt;=$F$3,F538*Q538+G538*R538+H538*S538,0)</f>
        <v>0</v>
      </c>
      <c r="P538" s="636">
        <f>IF(A531&lt;=$F$3,I538*Q538+J538*R538+K538*S538,0)</f>
        <v>0</v>
      </c>
      <c r="Q538" s="637">
        <f t="shared" si="187"/>
        <v>181536.36363636365</v>
      </c>
      <c r="R538" s="638">
        <f t="shared" si="187"/>
        <v>250869.20727272728</v>
      </c>
      <c r="S538" s="639">
        <f t="shared" si="187"/>
        <v>264480.11636363639</v>
      </c>
      <c r="T538" s="637">
        <f>L538*$AH$6*AD$17</f>
        <v>0</v>
      </c>
      <c r="U538" s="640" t="e">
        <f>$AH$6*(1-AE$16)*((1+HLOOKUP($A$481,FC_Premissas!$D$5:$W$16,14,FALSE)^0.0833-1))*L538*12</f>
        <v>#REF!</v>
      </c>
      <c r="V538" s="638">
        <f>M538*$AP$6*AL$17</f>
        <v>0</v>
      </c>
      <c r="W538" s="669" t="e">
        <f>$AP$6*(1-AM$16)*((1+HLOOKUP($A$481,FC_Premissas!$D$5:$W$16,14,FALSE))^0.0833-1)*M538*12</f>
        <v>#REF!</v>
      </c>
      <c r="X538" s="637">
        <f>N538*$AX$6*AT$17</f>
        <v>0</v>
      </c>
      <c r="Y538" s="640" t="e">
        <f>$AX$6*(1-AU$16)*((1+HLOOKUP($A$481,FC_Premissas!$D$5:$W$16,14,FALSE))^0.0833-1)*N538*12</f>
        <v>#REF!</v>
      </c>
      <c r="Z538" s="638">
        <f t="shared" si="188"/>
        <v>0</v>
      </c>
      <c r="AA538" s="669" t="e">
        <f t="shared" si="188"/>
        <v>#REF!</v>
      </c>
      <c r="AB538" s="641"/>
    </row>
    <row r="539" spans="1:28" hidden="1" x14ac:dyDescent="0.2">
      <c r="A539" s="984"/>
      <c r="B539" s="633">
        <v>6</v>
      </c>
      <c r="C539" s="634">
        <f>IF(A531&lt;=$F$3,L513,0)</f>
        <v>0</v>
      </c>
      <c r="D539" s="598">
        <f>IF(A531&lt;=$F$3,M513,0)</f>
        <v>0</v>
      </c>
      <c r="E539" s="598">
        <f>IF(A531&lt;=$F$3,N513,0)</f>
        <v>0</v>
      </c>
      <c r="F539" s="679"/>
      <c r="G539" s="680"/>
      <c r="H539" s="680"/>
      <c r="I539" s="679"/>
      <c r="J539" s="680"/>
      <c r="K539" s="680"/>
      <c r="L539" s="634">
        <f>IF(A531&lt;=$F$3,C539+F539-I539,0)</f>
        <v>0</v>
      </c>
      <c r="M539" s="598">
        <f>IF(A531&lt;=$F$3,D539+G539-J539,0)</f>
        <v>0</v>
      </c>
      <c r="N539" s="598">
        <f>IF(A531&lt;=$F$3,E539+H539-K539,0)</f>
        <v>0</v>
      </c>
      <c r="O539" s="635">
        <f>IF(A531&lt;=$F$3,F539*Q539+G539*R539+H539*S539,0)</f>
        <v>0</v>
      </c>
      <c r="P539" s="636">
        <f>IF(A531&lt;=$F$3,I539*Q539+J539*R539+K539*S539,0)</f>
        <v>0</v>
      </c>
      <c r="Q539" s="637">
        <f t="shared" si="187"/>
        <v>138540.90909090912</v>
      </c>
      <c r="R539" s="638">
        <f t="shared" si="187"/>
        <v>194252.85818181818</v>
      </c>
      <c r="S539" s="639">
        <f t="shared" si="187"/>
        <v>204640.13090909092</v>
      </c>
      <c r="T539" s="637">
        <f>L539*$AH$6*AD$18</f>
        <v>0</v>
      </c>
      <c r="U539" s="640" t="e">
        <f>$AH$6*(1-AE$17)*((1+HLOOKUP($A$481,FC_Premissas!$D$5:$W$16,14,FALSE)^0.0833-1))*L539*12</f>
        <v>#REF!</v>
      </c>
      <c r="V539" s="638">
        <f>M539*$AP$6*AL$18</f>
        <v>0</v>
      </c>
      <c r="W539" s="669" t="e">
        <f>$AP$6*(1-AM$17)*((1+HLOOKUP($A$481,FC_Premissas!$D$5:$W$16,14,FALSE))^0.0833-1)*M539*12</f>
        <v>#REF!</v>
      </c>
      <c r="X539" s="637">
        <f>N539*$AX$6*AT$18</f>
        <v>0</v>
      </c>
      <c r="Y539" s="640" t="e">
        <f>$AX$6*(1-AU$17)*((1+HLOOKUP($A$481,FC_Premissas!$D$5:$W$16,14,FALSE))^0.0833-1)*N539*12</f>
        <v>#REF!</v>
      </c>
      <c r="Z539" s="638">
        <f t="shared" si="188"/>
        <v>0</v>
      </c>
      <c r="AA539" s="669" t="e">
        <f t="shared" si="188"/>
        <v>#REF!</v>
      </c>
      <c r="AB539" s="641"/>
    </row>
    <row r="540" spans="1:28" hidden="1" x14ac:dyDescent="0.2">
      <c r="A540" s="984"/>
      <c r="B540" s="633">
        <v>7</v>
      </c>
      <c r="C540" s="634">
        <f>IF(A531&lt;=$F$3,L514,0)</f>
        <v>0</v>
      </c>
      <c r="D540" s="598">
        <f>IF(A531&lt;=$F$3,M514,0)</f>
        <v>0</v>
      </c>
      <c r="E540" s="598">
        <f>IF(A531&lt;=$F$3,N514,0)</f>
        <v>0</v>
      </c>
      <c r="F540" s="679"/>
      <c r="G540" s="680"/>
      <c r="H540" s="680"/>
      <c r="I540" s="679"/>
      <c r="J540" s="680"/>
      <c r="K540" s="680"/>
      <c r="L540" s="634">
        <f>IF(A531&lt;=$F$3,C540+F540-I540,0)</f>
        <v>0</v>
      </c>
      <c r="M540" s="598">
        <f>IF(A531&lt;=$F$3,D540+G540-J540,0)</f>
        <v>0</v>
      </c>
      <c r="N540" s="598">
        <f>IF(A531&lt;=$F$3,E540+H540-K540,0)</f>
        <v>0</v>
      </c>
      <c r="O540" s="635">
        <f>IF(A531&lt;=$F$3,F540*Q540+G540*R540+H540*S540,0)</f>
        <v>0</v>
      </c>
      <c r="P540" s="636">
        <f>IF(A531&lt;=$F$3,I540*Q540+J540*R540+K540*S540,0)</f>
        <v>0</v>
      </c>
      <c r="Q540" s="637">
        <f t="shared" si="187"/>
        <v>104144.54545454548</v>
      </c>
      <c r="R540" s="638">
        <f t="shared" si="187"/>
        <v>148959.77890909094</v>
      </c>
      <c r="S540" s="639">
        <f t="shared" si="187"/>
        <v>156768.14254545458</v>
      </c>
      <c r="T540" s="637">
        <f>L540*$AH$6*AD$19</f>
        <v>0</v>
      </c>
      <c r="U540" s="640" t="e">
        <f>$AH$6*(1-AE$18)*((1+HLOOKUP($A$481,FC_Premissas!$D$5:$W$16,14,FALSE)^0.0833-1))*L540*12</f>
        <v>#REF!</v>
      </c>
      <c r="V540" s="638">
        <f>M540*$AP$6*AL$19</f>
        <v>0</v>
      </c>
      <c r="W540" s="669" t="e">
        <f>$AP$6*(1-AM$18)*((1+HLOOKUP($A$481,FC_Premissas!$D$5:$W$16,14,FALSE))^0.0833-1)*M540*12</f>
        <v>#REF!</v>
      </c>
      <c r="X540" s="637">
        <f>N540*$AX$6*AT$19</f>
        <v>0</v>
      </c>
      <c r="Y540" s="640" t="e">
        <f>$AX$6*(1-AU$18)*((1+HLOOKUP($A$481,FC_Premissas!$D$5:$W$16,14,FALSE))^0.0833-1)*N540*12</f>
        <v>#REF!</v>
      </c>
      <c r="Z540" s="638">
        <f t="shared" si="188"/>
        <v>0</v>
      </c>
      <c r="AA540" s="669" t="e">
        <f t="shared" si="188"/>
        <v>#REF!</v>
      </c>
      <c r="AB540" s="641"/>
    </row>
    <row r="541" spans="1:28" hidden="1" x14ac:dyDescent="0.2">
      <c r="A541" s="984"/>
      <c r="B541" s="633">
        <v>8</v>
      </c>
      <c r="C541" s="634">
        <f>IF(A531&lt;=$F$3,L515,0)</f>
        <v>0</v>
      </c>
      <c r="D541" s="598">
        <f>IF(A531&lt;=$F$3,M515,0)</f>
        <v>0</v>
      </c>
      <c r="E541" s="598">
        <f>IF(A531&lt;=$F$3,N515,0)</f>
        <v>0</v>
      </c>
      <c r="F541" s="679"/>
      <c r="G541" s="680"/>
      <c r="H541" s="680"/>
      <c r="I541" s="679"/>
      <c r="J541" s="680"/>
      <c r="K541" s="680"/>
      <c r="L541" s="634">
        <f>IF(A531&lt;=$F$3,C541+F541-I541,0)</f>
        <v>0</v>
      </c>
      <c r="M541" s="598">
        <f>IF(A531&lt;=$F$3,D541+G541-J541,0)</f>
        <v>0</v>
      </c>
      <c r="N541" s="598">
        <f>IF(A531&lt;=$F$3,E541+H541-K541,0)</f>
        <v>0</v>
      </c>
      <c r="O541" s="635">
        <f>IF(A531&lt;=$F$3,F541*Q541+G541*R541+H541*S541,0)</f>
        <v>0</v>
      </c>
      <c r="P541" s="636">
        <f>IF(A531&lt;=$F$3,I541*Q541+J541*R541+K541*S541,0)</f>
        <v>0</v>
      </c>
      <c r="Q541" s="637">
        <f t="shared" si="187"/>
        <v>78347.272727272764</v>
      </c>
      <c r="R541" s="638">
        <f t="shared" si="187"/>
        <v>114989.9694545455</v>
      </c>
      <c r="S541" s="639">
        <f t="shared" si="187"/>
        <v>120864.15127272732</v>
      </c>
      <c r="T541" s="637">
        <f>L541*$AH$6*AD$20</f>
        <v>0</v>
      </c>
      <c r="U541" s="640" t="e">
        <f>$AH$6*(1-AE$19)*((1+HLOOKUP($A$481,FC_Premissas!$D$5:$W$16,14,FALSE)^0.0833-1))*L541*12</f>
        <v>#REF!</v>
      </c>
      <c r="V541" s="638">
        <f>M541*$AP$6*AL$20</f>
        <v>0</v>
      </c>
      <c r="W541" s="669" t="e">
        <f>$AP$6*(1-AM$19)*((1+HLOOKUP($A$481,FC_Premissas!$D$5:$W$16,14,FALSE))^0.0833-1)*M541*12</f>
        <v>#REF!</v>
      </c>
      <c r="X541" s="637">
        <f>N541*$AX$6*AT$20</f>
        <v>0</v>
      </c>
      <c r="Y541" s="640" t="e">
        <f>$AX$6*(1-AU$19)*((1+HLOOKUP($A$481,FC_Premissas!$D$5:$W$16,14,FALSE))^0.0833-1)*N541*12</f>
        <v>#REF!</v>
      </c>
      <c r="Z541" s="638">
        <f t="shared" si="188"/>
        <v>0</v>
      </c>
      <c r="AA541" s="669" t="e">
        <f t="shared" si="188"/>
        <v>#REF!</v>
      </c>
      <c r="AB541" s="641"/>
    </row>
    <row r="542" spans="1:28" hidden="1" x14ac:dyDescent="0.2">
      <c r="A542" s="984"/>
      <c r="B542" s="633">
        <v>9</v>
      </c>
      <c r="C542" s="634">
        <f>IF(A531&lt;=$F$3,L516,0)</f>
        <v>0</v>
      </c>
      <c r="D542" s="598">
        <f>IF(A531&lt;=$F$3,M516,0)</f>
        <v>0</v>
      </c>
      <c r="E542" s="598">
        <f>IF(A531&lt;=$F$3,N516,0)</f>
        <v>0</v>
      </c>
      <c r="F542" s="679"/>
      <c r="G542" s="680"/>
      <c r="H542" s="680"/>
      <c r="I542" s="679"/>
      <c r="J542" s="680"/>
      <c r="K542" s="680"/>
      <c r="L542" s="634">
        <f>IF(A531&lt;=$F$3,C542+F542-I542,0)</f>
        <v>0</v>
      </c>
      <c r="M542" s="598">
        <f>IF(A531&lt;=$F$3,D542+G542-J542,0)</f>
        <v>0</v>
      </c>
      <c r="N542" s="598">
        <f>IF(A531&lt;=$F$3,E542+H542-K542,0)</f>
        <v>0</v>
      </c>
      <c r="O542" s="635">
        <f>IF(A531&lt;=$F$3,F542*Q542+G542*R542+H542*S542,0)</f>
        <v>0</v>
      </c>
      <c r="P542" s="636">
        <f>IF(A531&lt;=$F$3,I542*Q542+J542*R542+K542*S542,0)</f>
        <v>0</v>
      </c>
      <c r="Q542" s="637">
        <f t="shared" si="187"/>
        <v>61149.090909090955</v>
      </c>
      <c r="R542" s="638">
        <f t="shared" si="187"/>
        <v>92343.429818181874</v>
      </c>
      <c r="S542" s="639">
        <f t="shared" si="187"/>
        <v>96928.157090909139</v>
      </c>
      <c r="T542" s="637">
        <f>L542*$AH$6*AD$21</f>
        <v>0</v>
      </c>
      <c r="U542" s="640" t="e">
        <f>$AH$6*(1-AE$20)*((1+HLOOKUP($A$481,FC_Premissas!$D$5:$W$16,14,FALSE)^0.0833-1))*L542*12</f>
        <v>#REF!</v>
      </c>
      <c r="V542" s="638">
        <f>M542*$AP$6*AL$21</f>
        <v>0</v>
      </c>
      <c r="W542" s="669" t="e">
        <f>$AP$6*(1-AM$20)*((1+HLOOKUP($A$481,FC_Premissas!$D$5:$W$16,14,FALSE))^0.0833-1)*M542*12</f>
        <v>#REF!</v>
      </c>
      <c r="X542" s="637">
        <f>N542*$AX$6*AT$21</f>
        <v>0</v>
      </c>
      <c r="Y542" s="640" t="e">
        <f>$AX$6*(1-AU$20)*((1+HLOOKUP($A$481,FC_Premissas!$D$5:$W$16,14,FALSE))^0.0833-1)*N542*12</f>
        <v>#REF!</v>
      </c>
      <c r="Z542" s="638">
        <f t="shared" si="188"/>
        <v>0</v>
      </c>
      <c r="AA542" s="669" t="e">
        <f t="shared" si="188"/>
        <v>#REF!</v>
      </c>
      <c r="AB542" s="641"/>
    </row>
    <row r="543" spans="1:28" hidden="1" x14ac:dyDescent="0.2">
      <c r="A543" s="984"/>
      <c r="B543" s="633">
        <v>10</v>
      </c>
      <c r="C543" s="634">
        <f>IF(A531&lt;=$F$3,L517,0)</f>
        <v>0</v>
      </c>
      <c r="D543" s="598">
        <f>IF(A531&lt;=$F$3,M517,0)</f>
        <v>0</v>
      </c>
      <c r="E543" s="598">
        <f>IF(A531&lt;=$F$3,N517,0)</f>
        <v>0</v>
      </c>
      <c r="F543" s="679"/>
      <c r="G543" s="680"/>
      <c r="H543" s="680"/>
      <c r="I543" s="679"/>
      <c r="J543" s="680"/>
      <c r="K543" s="680"/>
      <c r="L543" s="634">
        <f>IF(A531&lt;=$F$3,C543+F543-I543,0)</f>
        <v>0</v>
      </c>
      <c r="M543" s="598">
        <f>IF(A531&lt;=$F$3,D543+G543-J543,0)</f>
        <v>0</v>
      </c>
      <c r="N543" s="598">
        <f>IF(A531&lt;=$F$3,E543+H543-K543,0)</f>
        <v>0</v>
      </c>
      <c r="O543" s="635">
        <f>IF(A531&lt;=$F$3,F543*Q543+G543*R543+H543*S543,0)</f>
        <v>0</v>
      </c>
      <c r="P543" s="636">
        <f>IF(A531&lt;=$F$3,I543*Q543+J543*R543+K543*S543,0)</f>
        <v>0</v>
      </c>
      <c r="Q543" s="637">
        <f t="shared" si="187"/>
        <v>52550.000000000044</v>
      </c>
      <c r="R543" s="638">
        <f t="shared" si="187"/>
        <v>81020.160000000062</v>
      </c>
      <c r="S543" s="639">
        <f t="shared" si="187"/>
        <v>84960.160000000062</v>
      </c>
      <c r="T543" s="637">
        <f>L543*$AH$6*AD$22</f>
        <v>0</v>
      </c>
      <c r="U543" s="640" t="e">
        <f>$AH$6*(1-AE$21)*((1+HLOOKUP($A$481,FC_Premissas!$D$5:$W$16,14,FALSE)^0.0833-1))*L543*12</f>
        <v>#REF!</v>
      </c>
      <c r="V543" s="638">
        <f>M543*$AP$6*AL$22</f>
        <v>0</v>
      </c>
      <c r="W543" s="669" t="e">
        <f>$AP$6*(1-AM$21)*((1+HLOOKUP($A$481,FC_Premissas!$D$5:$W$16,14,FALSE))^0.0833-1)*M543*12</f>
        <v>#REF!</v>
      </c>
      <c r="X543" s="637">
        <f>N543*$AX$6*AT$22</f>
        <v>0</v>
      </c>
      <c r="Y543" s="640" t="e">
        <f>$AX$6*(1-AU$21)*((1+HLOOKUP($A$481,FC_Premissas!$D$5:$W$16,14,FALSE))^0.0833-1)*N543*12</f>
        <v>#REF!</v>
      </c>
      <c r="Z543" s="638">
        <f t="shared" si="188"/>
        <v>0</v>
      </c>
      <c r="AA543" s="669" t="e">
        <f t="shared" si="188"/>
        <v>#REF!</v>
      </c>
      <c r="AB543" s="641"/>
    </row>
    <row r="544" spans="1:28" hidden="1" x14ac:dyDescent="0.2">
      <c r="A544" s="984"/>
      <c r="B544" s="633">
        <v>11</v>
      </c>
      <c r="C544" s="634">
        <f>IF(A531&lt;=$F$3,L518,0)</f>
        <v>0</v>
      </c>
      <c r="D544" s="598">
        <f>IF(A531&lt;=$F$3,M518,0)</f>
        <v>0</v>
      </c>
      <c r="E544" s="598">
        <f>IF(A531&lt;=$F$3,N518,0)</f>
        <v>0</v>
      </c>
      <c r="F544" s="679"/>
      <c r="G544" s="680"/>
      <c r="H544" s="680"/>
      <c r="I544" s="679"/>
      <c r="J544" s="680"/>
      <c r="K544" s="680"/>
      <c r="L544" s="634">
        <f>IF(A531&lt;=$F$3,C544+F544-I544,0)</f>
        <v>0</v>
      </c>
      <c r="M544" s="598">
        <f>IF(A531&lt;=$F$3,D544+G544-J544,0)</f>
        <v>0</v>
      </c>
      <c r="N544" s="598">
        <f>IF(A531&lt;=$F$3,E544+H544-K544,0)</f>
        <v>0</v>
      </c>
      <c r="O544" s="635">
        <f>IF(A531&lt;=$F$3,F544*Q544+G544*R544+H544*S544,0)</f>
        <v>0</v>
      </c>
      <c r="P544" s="636">
        <f>IF(A531&lt;=$F$3,I544*Q544+J544*R544+K544*S544,0)</f>
        <v>0</v>
      </c>
      <c r="Q544" s="637">
        <f t="shared" si="187"/>
        <v>52550.000000000044</v>
      </c>
      <c r="R544" s="638">
        <f t="shared" si="187"/>
        <v>81020.160000000062</v>
      </c>
      <c r="S544" s="639">
        <f t="shared" si="187"/>
        <v>84960.160000000062</v>
      </c>
      <c r="T544" s="637">
        <f>L544*$AH$6*AD$23</f>
        <v>0</v>
      </c>
      <c r="U544" s="640" t="e">
        <f>$AH$6*(1-AE$22)*((1+HLOOKUP($A$481,FC_Premissas!$D$5:$W$16,14,FALSE)^0.0833-1))*L544*12</f>
        <v>#REF!</v>
      </c>
      <c r="V544" s="638">
        <f>M544*$AP$6*AL$23</f>
        <v>0</v>
      </c>
      <c r="W544" s="669" t="e">
        <f>$AP$6*(1-AM$22)*((1+HLOOKUP($A$481,FC_Premissas!$D$5:$W$16,14,FALSE))^0.0833-1)*M544*12</f>
        <v>#REF!</v>
      </c>
      <c r="X544" s="637">
        <f>N544*$AX$6*AT$23</f>
        <v>0</v>
      </c>
      <c r="Y544" s="640" t="e">
        <f>$AX$6*(1-AU$22)*((1+HLOOKUP($A$481,FC_Premissas!$D$5:$W$16,14,FALSE))^0.0833-1)*N544*12</f>
        <v>#REF!</v>
      </c>
      <c r="Z544" s="638">
        <f t="shared" si="188"/>
        <v>0</v>
      </c>
      <c r="AA544" s="669" t="e">
        <f t="shared" si="188"/>
        <v>#REF!</v>
      </c>
      <c r="AB544" s="641"/>
    </row>
    <row r="545" spans="1:28" hidden="1" x14ac:dyDescent="0.2">
      <c r="A545" s="984"/>
      <c r="B545" s="633">
        <v>12</v>
      </c>
      <c r="C545" s="634">
        <f>IF(A531&lt;=$F$3,L519,0)</f>
        <v>0</v>
      </c>
      <c r="D545" s="598">
        <f>IF(A531&lt;=$F$3,M519,0)</f>
        <v>0</v>
      </c>
      <c r="E545" s="598">
        <f>IF(A531&lt;=$F$3,N519,0)</f>
        <v>0</v>
      </c>
      <c r="F545" s="679"/>
      <c r="G545" s="680"/>
      <c r="H545" s="680"/>
      <c r="I545" s="679"/>
      <c r="J545" s="680"/>
      <c r="K545" s="680"/>
      <c r="L545" s="634">
        <f>IF(A531&lt;=$F$3,C545+F545-I545,0)</f>
        <v>0</v>
      </c>
      <c r="M545" s="598">
        <f>IF(A531&lt;=$F$3,D545+G545-J545,0)</f>
        <v>0</v>
      </c>
      <c r="N545" s="598">
        <f>IF(A531&lt;=$F$3,E545+H545-K545,0)</f>
        <v>0</v>
      </c>
      <c r="O545" s="635">
        <f>IF(A531&lt;=$F$3,F545*Q545+G545*R545+H545*S545,0)</f>
        <v>0</v>
      </c>
      <c r="P545" s="636">
        <f>IF(A531&lt;=$F$3,I545*Q545+J545*R545+K545*S545,0)</f>
        <v>0</v>
      </c>
      <c r="Q545" s="637">
        <f t="shared" si="187"/>
        <v>52550.000000000044</v>
      </c>
      <c r="R545" s="638">
        <f t="shared" si="187"/>
        <v>81020.160000000062</v>
      </c>
      <c r="S545" s="639">
        <f t="shared" si="187"/>
        <v>84960.160000000062</v>
      </c>
      <c r="T545" s="637">
        <f>L545*$AH$6*AD$24</f>
        <v>0</v>
      </c>
      <c r="U545" s="640" t="e">
        <f>$AH$6*(1-AE$23)*((1+HLOOKUP($A$481,FC_Premissas!$D$5:$W$16,14,FALSE)^0.0833-1))*L545*12</f>
        <v>#REF!</v>
      </c>
      <c r="V545" s="638">
        <f>M545*$AP$6*AL$24</f>
        <v>0</v>
      </c>
      <c r="W545" s="669" t="e">
        <f>$AP$6*(1-AM$23)*((1+HLOOKUP($A$481,FC_Premissas!$D$5:$W$16,14,FALSE))^0.0833-1)*M545*12</f>
        <v>#REF!</v>
      </c>
      <c r="X545" s="637">
        <f>N545*$AX$6*AT$24</f>
        <v>0</v>
      </c>
      <c r="Y545" s="640" t="e">
        <f>$AX$6*(1-AU$23)*((1+HLOOKUP($A$481,FC_Premissas!$D$5:$W$16,14,FALSE))^0.0833-1)*N545*12</f>
        <v>#REF!</v>
      </c>
      <c r="Z545" s="638">
        <f t="shared" si="188"/>
        <v>0</v>
      </c>
      <c r="AA545" s="669" t="e">
        <f t="shared" si="188"/>
        <v>#REF!</v>
      </c>
      <c r="AB545" s="641"/>
    </row>
    <row r="546" spans="1:28" ht="11.25" hidden="1" customHeight="1" x14ac:dyDescent="0.2">
      <c r="A546" s="984"/>
      <c r="B546" s="633">
        <v>13</v>
      </c>
      <c r="C546" s="634">
        <f>IF(A531&lt;=$F$3,L520,0)</f>
        <v>0</v>
      </c>
      <c r="D546" s="598">
        <f>IF(A531&lt;=$F$3,M520,0)</f>
        <v>0</v>
      </c>
      <c r="E546" s="650">
        <f>IF(A531&lt;=$F$3,N520,0)</f>
        <v>0</v>
      </c>
      <c r="F546" s="634"/>
      <c r="G546" s="598"/>
      <c r="H546" s="598"/>
      <c r="I546" s="634"/>
      <c r="J546" s="598"/>
      <c r="K546" s="598">
        <v>0</v>
      </c>
      <c r="L546" s="634">
        <f>IF(A531&lt;=$F$3,C546+F546-I546,0)</f>
        <v>0</v>
      </c>
      <c r="M546" s="598">
        <f>IF(A531&lt;=$F$3,D546+G546-J546,0)</f>
        <v>0</v>
      </c>
      <c r="N546" s="598">
        <f>IF(A531&lt;=$F$3,E546+H546-K546,0)</f>
        <v>0</v>
      </c>
      <c r="O546" s="635">
        <f>IF(A531&lt;=$F$3,F546*Q546+G546*R546+H546*S546,0)</f>
        <v>0</v>
      </c>
      <c r="P546" s="636">
        <f>IF(A531&lt;=$F$3,I546*Q546+J546*R546+K546*S546,0)</f>
        <v>0</v>
      </c>
      <c r="Q546" s="637">
        <f t="shared" si="187"/>
        <v>52550.000000000044</v>
      </c>
      <c r="R546" s="638">
        <f t="shared" si="187"/>
        <v>81020.160000000062</v>
      </c>
      <c r="S546" s="639">
        <f t="shared" si="187"/>
        <v>84960.160000000062</v>
      </c>
      <c r="T546" s="637">
        <f>L546*$AH$6*AD$25</f>
        <v>0</v>
      </c>
      <c r="U546" s="640" t="e">
        <f>$AH$6*(1-AE$24)*((1+HLOOKUP($A$481,FC_Premissas!$D$5:$W$16,14,FALSE)^0.0833-1))*L546*12</f>
        <v>#REF!</v>
      </c>
      <c r="V546" s="638">
        <f>M546*$AP$6*AL$25</f>
        <v>0</v>
      </c>
      <c r="W546" s="669" t="e">
        <f>$AP$6*(1-AM$24)*((1+HLOOKUP($A$481,FC_Premissas!$D$5:$W$16,14,FALSE))^0.0833-1)*M546*12</f>
        <v>#REF!</v>
      </c>
      <c r="X546" s="637">
        <f>N546*$AX$6*AT$25</f>
        <v>0</v>
      </c>
      <c r="Y546" s="640" t="e">
        <f>$AX$6*(1-AU$24)*((1+HLOOKUP($A$481,FC_Premissas!$D$5:$W$16,14,FALSE))^0.0833-1)*N546*12</f>
        <v>#REF!</v>
      </c>
      <c r="Z546" s="638">
        <f t="shared" si="188"/>
        <v>0</v>
      </c>
      <c r="AA546" s="669" t="e">
        <f t="shared" si="188"/>
        <v>#REF!</v>
      </c>
      <c r="AB546" s="641"/>
    </row>
    <row r="547" spans="1:28" ht="11.25" hidden="1" customHeight="1" x14ac:dyDescent="0.2">
      <c r="A547" s="984"/>
      <c r="B547" s="633">
        <v>14</v>
      </c>
      <c r="C547" s="634">
        <f>IF(A531&lt;=$F$3,L521,0)</f>
        <v>0</v>
      </c>
      <c r="D547" s="598">
        <f>IF(A531&lt;=$F$3,M521,0)</f>
        <v>0</v>
      </c>
      <c r="E547" s="650">
        <f>IF(A531&lt;=$F$3,N521,0)</f>
        <v>0</v>
      </c>
      <c r="F547" s="634"/>
      <c r="G547" s="598"/>
      <c r="H547" s="598"/>
      <c r="I547" s="634"/>
      <c r="J547" s="598"/>
      <c r="K547" s="598"/>
      <c r="L547" s="634">
        <f>IF(A531&lt;=$F$3,C547+F547-I547,0)</f>
        <v>0</v>
      </c>
      <c r="M547" s="598">
        <f>IF(A531&lt;=$F$3,D547+G547-J547,0)</f>
        <v>0</v>
      </c>
      <c r="N547" s="598">
        <f>IF(A531&lt;=$F$3,E547+H547-K547,0)</f>
        <v>0</v>
      </c>
      <c r="O547" s="635">
        <f>IF(A531&lt;=$F$3,F547*Q547+G547*R547+H547*S547,0)</f>
        <v>0</v>
      </c>
      <c r="P547" s="636">
        <f>IF(A531&lt;=$F$3,I547*Q547+J547*R547+K547*S547,0)</f>
        <v>0</v>
      </c>
      <c r="Q547" s="637">
        <f t="shared" si="187"/>
        <v>52550.000000000044</v>
      </c>
      <c r="R547" s="638">
        <f t="shared" si="187"/>
        <v>81020.160000000062</v>
      </c>
      <c r="S547" s="639">
        <f t="shared" si="187"/>
        <v>84960.160000000062</v>
      </c>
      <c r="T547" s="637">
        <f>L547*$AH$6*AD$26</f>
        <v>0</v>
      </c>
      <c r="U547" s="640" t="e">
        <f>$AH$6*(1-AE$25)*((1+HLOOKUP($A$481,FC_Premissas!$D$5:$W$16,14,FALSE)^0.0833-1))*L547*12</f>
        <v>#REF!</v>
      </c>
      <c r="V547" s="638">
        <f>M547*$AP$6*AL$26</f>
        <v>0</v>
      </c>
      <c r="W547" s="669" t="e">
        <f>$AP$6*(1-AM$25)*((1+HLOOKUP($A$481,FC_Premissas!$D$5:$W$16,14,FALSE))^0.0833-1)*M547*12</f>
        <v>#REF!</v>
      </c>
      <c r="X547" s="637">
        <f>N547*$AX$6*AT$26</f>
        <v>0</v>
      </c>
      <c r="Y547" s="640" t="e">
        <f>$AX$6*(1-AU$25)*((1+HLOOKUP($A$481,FC_Premissas!$D$5:$W$16,14,FALSE))^0.0833-1)*N547*12</f>
        <v>#REF!</v>
      </c>
      <c r="Z547" s="638">
        <f t="shared" si="188"/>
        <v>0</v>
      </c>
      <c r="AA547" s="669" t="e">
        <f t="shared" si="188"/>
        <v>#REF!</v>
      </c>
      <c r="AB547" s="641"/>
    </row>
    <row r="548" spans="1:28" ht="11.25" hidden="1" customHeight="1" x14ac:dyDescent="0.2">
      <c r="A548" s="984"/>
      <c r="B548" s="633">
        <v>15</v>
      </c>
      <c r="C548" s="634">
        <f>IF(A531&lt;=$F$3,L522,0)</f>
        <v>0</v>
      </c>
      <c r="D548" s="598">
        <f>IF(A531&lt;=$F$3,M522,0)</f>
        <v>0</v>
      </c>
      <c r="E548" s="650">
        <f>IF(A531&lt;=$F$3,N522,0)</f>
        <v>0</v>
      </c>
      <c r="F548" s="634"/>
      <c r="G548" s="598"/>
      <c r="H548" s="598"/>
      <c r="I548" s="634"/>
      <c r="J548" s="598"/>
      <c r="K548" s="598"/>
      <c r="L548" s="634">
        <f>IF(A531&lt;=$F$3,C548+F548-I548,0)</f>
        <v>0</v>
      </c>
      <c r="M548" s="598">
        <f>IF(A531&lt;=$F$3,D548+G548-J548,0)</f>
        <v>0</v>
      </c>
      <c r="N548" s="598">
        <f>IF(A531&lt;=$F$3,E548+H548-K548,0)</f>
        <v>0</v>
      </c>
      <c r="O548" s="635">
        <f>IF(A531&lt;=$F$3,F548*Q548+G548*R548+H548*S548,0)</f>
        <v>0</v>
      </c>
      <c r="P548" s="636">
        <f>IF(A531&lt;=$F$3,I548*Q548+J548*R548+K548*S548,0)</f>
        <v>0</v>
      </c>
      <c r="Q548" s="637">
        <f t="shared" si="187"/>
        <v>52550.000000000044</v>
      </c>
      <c r="R548" s="638">
        <f t="shared" si="187"/>
        <v>81020.160000000062</v>
      </c>
      <c r="S548" s="639">
        <f t="shared" si="187"/>
        <v>84960.160000000062</v>
      </c>
      <c r="T548" s="637">
        <f t="shared" ref="T548:T553" si="189">L548*$AH$6*AD$27</f>
        <v>0</v>
      </c>
      <c r="U548" s="640" t="e">
        <f>$AH$6*(1-AE$26)*((1+HLOOKUP($A$481,FC_Premissas!$D$5:$W$16,14,FALSE)^0.0833-1))*L548*12</f>
        <v>#REF!</v>
      </c>
      <c r="V548" s="638">
        <f t="shared" ref="V548:V553" si="190">M548*$AP$6*AL$27</f>
        <v>0</v>
      </c>
      <c r="W548" s="669" t="e">
        <f>$AP$6*(1-AM$26)*((1+HLOOKUP($A$481,FC_Premissas!$D$5:$W$16,14,FALSE))^0.0833-1)*M548*12</f>
        <v>#REF!</v>
      </c>
      <c r="X548" s="637">
        <f t="shared" ref="X548:X553" si="191">N548*$AX$6*AT$27</f>
        <v>0</v>
      </c>
      <c r="Y548" s="640" t="e">
        <f>$AX$6*(1-AU$26)*((1+HLOOKUP($A$481,FC_Premissas!$D$5:$W$16,14,FALSE))^0.0833-1)*N548*12</f>
        <v>#REF!</v>
      </c>
      <c r="Z548" s="638">
        <f t="shared" si="188"/>
        <v>0</v>
      </c>
      <c r="AA548" s="640" t="e">
        <f t="shared" si="188"/>
        <v>#REF!</v>
      </c>
      <c r="AB548" s="641"/>
    </row>
    <row r="549" spans="1:28" hidden="1" x14ac:dyDescent="0.2">
      <c r="A549" s="984"/>
      <c r="B549" s="633">
        <v>16</v>
      </c>
      <c r="C549" s="634">
        <f>IF(A531&lt;=$F$3,L523,0)</f>
        <v>0</v>
      </c>
      <c r="D549" s="598">
        <f>IF(A531&lt;=$F$3,M523,0)</f>
        <v>0</v>
      </c>
      <c r="E549" s="650">
        <f>IF(A531&lt;=$F$3,N523,0)</f>
        <v>0</v>
      </c>
      <c r="F549" s="634"/>
      <c r="G549" s="598"/>
      <c r="H549" s="598"/>
      <c r="I549" s="634"/>
      <c r="J549" s="598"/>
      <c r="K549" s="598"/>
      <c r="L549" s="634">
        <f>IF(A531&lt;=$F$3,C549+F549-I549,0)</f>
        <v>0</v>
      </c>
      <c r="M549" s="598">
        <f>IF(A531&lt;=$F$3,D549+G549-J549,0)</f>
        <v>0</v>
      </c>
      <c r="N549" s="598">
        <f>IF(A531&lt;=$F$3,E549+H549-K549,0)</f>
        <v>0</v>
      </c>
      <c r="O549" s="635">
        <f>IF(A531&lt;=$F$3,F549*Q549+G549*R549+H549*S549,0)</f>
        <v>0</v>
      </c>
      <c r="P549" s="636">
        <f>IF(A531&lt;=$F$3,I549*Q549+J549*R549+K549*S549,0)</f>
        <v>0</v>
      </c>
      <c r="Q549" s="637">
        <f t="shared" ref="Q549:S553" si="192">Q524</f>
        <v>52550.000000000044</v>
      </c>
      <c r="R549" s="638">
        <f t="shared" si="192"/>
        <v>81020.160000000062</v>
      </c>
      <c r="S549" s="639">
        <f t="shared" si="192"/>
        <v>84960.160000000062</v>
      </c>
      <c r="T549" s="637">
        <f t="shared" si="189"/>
        <v>0</v>
      </c>
      <c r="U549" s="640" t="e">
        <f>$AH$6*(1-AE$27)*((1+HLOOKUP($A$481,FC_Premissas!$D$5:$W$16,14,FALSE)^0.0833-1))*L549*12</f>
        <v>#REF!</v>
      </c>
      <c r="V549" s="638">
        <f t="shared" si="190"/>
        <v>0</v>
      </c>
      <c r="W549" s="669" t="e">
        <f>$AP$6*(1-AM$27)*((1+HLOOKUP($A$481,FC_Premissas!$D$5:$W$16,14,FALSE))^0.0833-1)*M549*12</f>
        <v>#REF!</v>
      </c>
      <c r="X549" s="637">
        <f t="shared" si="191"/>
        <v>0</v>
      </c>
      <c r="Y549" s="640" t="e">
        <f>$AX$6*(1-AU$27)*((1+HLOOKUP($A$481,FC_Premissas!$D$5:$W$16,14,FALSE))^0.0833-1)*N549*12</f>
        <v>#REF!</v>
      </c>
      <c r="Z549" s="638">
        <f t="shared" si="188"/>
        <v>0</v>
      </c>
      <c r="AA549" s="640" t="e">
        <f t="shared" si="188"/>
        <v>#REF!</v>
      </c>
      <c r="AB549" s="641"/>
    </row>
    <row r="550" spans="1:28" hidden="1" x14ac:dyDescent="0.2">
      <c r="A550" s="984"/>
      <c r="B550" s="633">
        <v>17</v>
      </c>
      <c r="C550" s="634">
        <f>IF(A531&lt;=$F$3,L524,0)</f>
        <v>0</v>
      </c>
      <c r="D550" s="598">
        <f>IF(A531&lt;=$F$3,M524,0)</f>
        <v>0</v>
      </c>
      <c r="E550" s="650">
        <f>IF(A531&lt;=$F$3,N524,0)</f>
        <v>0</v>
      </c>
      <c r="F550" s="634"/>
      <c r="G550" s="598"/>
      <c r="H550" s="598"/>
      <c r="I550" s="634"/>
      <c r="J550" s="598"/>
      <c r="K550" s="598"/>
      <c r="L550" s="634">
        <f>IF(A531&lt;=$F$3,C550+F550-I550,0)</f>
        <v>0</v>
      </c>
      <c r="M550" s="598">
        <f>IF(A531&lt;=$F$3,D550+G550-J550,0)</f>
        <v>0</v>
      </c>
      <c r="N550" s="598">
        <f>IF(A531&lt;=$F$3,E550+H550-K550,0)</f>
        <v>0</v>
      </c>
      <c r="O550" s="635">
        <f>IF(A531&lt;=$F$3,F550*Q550+G550*R550+H550*S550,0)</f>
        <v>0</v>
      </c>
      <c r="P550" s="636">
        <f>IF(A531&lt;=$F$3,I550*Q550+J550*R550+K550*S550,0)</f>
        <v>0</v>
      </c>
      <c r="Q550" s="637">
        <f t="shared" si="192"/>
        <v>52550.000000000044</v>
      </c>
      <c r="R550" s="638">
        <f t="shared" si="192"/>
        <v>81020.160000000062</v>
      </c>
      <c r="S550" s="639">
        <f t="shared" si="192"/>
        <v>84960.160000000062</v>
      </c>
      <c r="T550" s="637">
        <f t="shared" si="189"/>
        <v>0</v>
      </c>
      <c r="U550" s="640" t="e">
        <f>$AH$6*(1-AE$28)*((1+HLOOKUP($A$481,FC_Premissas!$D$5:$W$16,14,FALSE)^0.0833-1))*L550*12</f>
        <v>#REF!</v>
      </c>
      <c r="V550" s="638">
        <f t="shared" si="190"/>
        <v>0</v>
      </c>
      <c r="W550" s="669" t="e">
        <f>$AP$6*(1-AM$28)*((1+HLOOKUP($A$481,FC_Premissas!$D$5:$W$16,14,FALSE))^0.0833-1)*M550*12</f>
        <v>#REF!</v>
      </c>
      <c r="X550" s="637">
        <f t="shared" si="191"/>
        <v>0</v>
      </c>
      <c r="Y550" s="640" t="e">
        <f>$AX$6*(1-AU$28)*((1+HLOOKUP($A$481,FC_Premissas!$D$5:$W$16,14,FALSE))^0.0833-1)*N550*12</f>
        <v>#REF!</v>
      </c>
      <c r="Z550" s="638">
        <f t="shared" si="188"/>
        <v>0</v>
      </c>
      <c r="AA550" s="640" t="e">
        <f t="shared" si="188"/>
        <v>#REF!</v>
      </c>
      <c r="AB550" s="641"/>
    </row>
    <row r="551" spans="1:28" hidden="1" x14ac:dyDescent="0.2">
      <c r="A551" s="984"/>
      <c r="B551" s="633">
        <v>18</v>
      </c>
      <c r="C551" s="634">
        <f>IF(A531&lt;=$F$3,L525,0)</f>
        <v>0</v>
      </c>
      <c r="D551" s="598">
        <f>IF(A531&lt;=$F$3,M525,0)</f>
        <v>0</v>
      </c>
      <c r="E551" s="650">
        <f>IF(A531&lt;=$F$3,N525,0)</f>
        <v>0</v>
      </c>
      <c r="F551" s="634"/>
      <c r="G551" s="598"/>
      <c r="H551" s="598"/>
      <c r="I551" s="634"/>
      <c r="J551" s="598"/>
      <c r="K551" s="598"/>
      <c r="L551" s="634">
        <f>IF(A531&lt;=$F$3,C551+F551-I551,0)</f>
        <v>0</v>
      </c>
      <c r="M551" s="598">
        <f>IF(A531&lt;=$F$3,D551+G551-J551,0)</f>
        <v>0</v>
      </c>
      <c r="N551" s="598">
        <f>IF(A531&lt;=$F$3,E551+H551-K551,0)</f>
        <v>0</v>
      </c>
      <c r="O551" s="635">
        <f>IF(A531&lt;=$F$3,F551*Q551+G551*R551+H551*S551,0)</f>
        <v>0</v>
      </c>
      <c r="P551" s="636">
        <f>IF(A531&lt;=$F$3,I551*Q551+J551*R551+K551*S551,0)</f>
        <v>0</v>
      </c>
      <c r="Q551" s="637">
        <f t="shared" si="192"/>
        <v>52550.000000000044</v>
      </c>
      <c r="R551" s="638">
        <f t="shared" si="192"/>
        <v>81020.160000000062</v>
      </c>
      <c r="S551" s="639">
        <f t="shared" si="192"/>
        <v>84960.160000000062</v>
      </c>
      <c r="T551" s="637">
        <f t="shared" si="189"/>
        <v>0</v>
      </c>
      <c r="U551" s="640" t="e">
        <f>$AH$6*(1-AE$29)*((1+HLOOKUP($A$481,FC_Premissas!$D$5:$W$16,14,FALSE)^0.0833-1))*L551*12</f>
        <v>#REF!</v>
      </c>
      <c r="V551" s="638">
        <f t="shared" si="190"/>
        <v>0</v>
      </c>
      <c r="W551" s="669" t="e">
        <f>$AP$6*(1-AM$29)*((1+HLOOKUP($A$481,FC_Premissas!$D$5:$W$16,14,FALSE))^0.0833-1)*M551*12</f>
        <v>#REF!</v>
      </c>
      <c r="X551" s="637">
        <f t="shared" si="191"/>
        <v>0</v>
      </c>
      <c r="Y551" s="640" t="e">
        <f>$AX$6*(1-AU$29)*((1+HLOOKUP($A$481,FC_Premissas!$D$5:$W$16,14,FALSE))^0.0833-1)*N551*12</f>
        <v>#REF!</v>
      </c>
      <c r="Z551" s="638">
        <f t="shared" si="188"/>
        <v>0</v>
      </c>
      <c r="AA551" s="640" t="e">
        <f t="shared" si="188"/>
        <v>#REF!</v>
      </c>
      <c r="AB551" s="641"/>
    </row>
    <row r="552" spans="1:28" hidden="1" x14ac:dyDescent="0.2">
      <c r="A552" s="984"/>
      <c r="B552" s="633">
        <v>19</v>
      </c>
      <c r="C552" s="634">
        <f>IF(A531&lt;=$F$3,L526,0)</f>
        <v>0</v>
      </c>
      <c r="D552" s="598">
        <f>IF(A531&lt;=$F$3,M526,0)</f>
        <v>0</v>
      </c>
      <c r="E552" s="650">
        <f>IF(A531&lt;=$F$3,N526,0)</f>
        <v>0</v>
      </c>
      <c r="F552" s="634"/>
      <c r="G552" s="598"/>
      <c r="H552" s="598"/>
      <c r="I552" s="634"/>
      <c r="J552" s="598"/>
      <c r="K552" s="598"/>
      <c r="L552" s="634">
        <f>IF(A531&lt;=$F$3,C552+F552-I552,0)</f>
        <v>0</v>
      </c>
      <c r="M552" s="598">
        <f>IF(A531&lt;=$F$3,D552+G552-J552,0)</f>
        <v>0</v>
      </c>
      <c r="N552" s="598">
        <f>IF(A531&lt;=$F$3,E552+H552-K552,0)</f>
        <v>0</v>
      </c>
      <c r="O552" s="635">
        <f>IF(A531&lt;=$F$3,F552*Q552+G552*R552+H552*S552,0)</f>
        <v>0</v>
      </c>
      <c r="P552" s="636">
        <f>IF(A531&lt;=$F$3,I552*Q552+J552*R552+K552*S552,0)</f>
        <v>0</v>
      </c>
      <c r="Q552" s="637">
        <f t="shared" si="192"/>
        <v>52550.000000000044</v>
      </c>
      <c r="R552" s="638">
        <f t="shared" si="192"/>
        <v>81020.160000000062</v>
      </c>
      <c r="S552" s="639">
        <f t="shared" si="192"/>
        <v>84960.160000000062</v>
      </c>
      <c r="T552" s="637">
        <f t="shared" si="189"/>
        <v>0</v>
      </c>
      <c r="U552" s="640" t="e">
        <f>$AH$6*(1-AE$30)*((1+HLOOKUP($A$481,FC_Premissas!$D$5:$W$16,14,FALSE)^0.0833-1))*L552*12</f>
        <v>#REF!</v>
      </c>
      <c r="V552" s="638">
        <f t="shared" si="190"/>
        <v>0</v>
      </c>
      <c r="W552" s="669" t="e">
        <f>$AP$6*(1-AM$30)*((1+HLOOKUP($A$481,FC_Premissas!$D$5:$W$16,14,FALSE))^0.0833-1)*M552*12</f>
        <v>#REF!</v>
      </c>
      <c r="X552" s="637">
        <f t="shared" si="191"/>
        <v>0</v>
      </c>
      <c r="Y552" s="640" t="e">
        <f>$AX$6*(1-AU$30)*((1+HLOOKUP($A$481,FC_Premissas!$D$5:$W$16,14,FALSE))^0.0833-1)*N552*12</f>
        <v>#REF!</v>
      </c>
      <c r="Z552" s="638">
        <f t="shared" si="188"/>
        <v>0</v>
      </c>
      <c r="AA552" s="640" t="e">
        <f t="shared" si="188"/>
        <v>#REF!</v>
      </c>
      <c r="AB552" s="641"/>
    </row>
    <row r="553" spans="1:28" hidden="1" x14ac:dyDescent="0.2">
      <c r="A553" s="984"/>
      <c r="B553" s="633">
        <v>20</v>
      </c>
      <c r="C553" s="616">
        <f>IF(A531&lt;=$F$3,L527,0)</f>
        <v>0</v>
      </c>
      <c r="D553" s="617">
        <f>IF(A531&lt;=$F$3,M527,0)</f>
        <v>0</v>
      </c>
      <c r="E553" s="650">
        <f>IF(A531&lt;=$F$3,N527,0)</f>
        <v>0</v>
      </c>
      <c r="F553" s="616"/>
      <c r="G553" s="617"/>
      <c r="H553" s="598"/>
      <c r="I553" s="616"/>
      <c r="J553" s="617"/>
      <c r="K553" s="598"/>
      <c r="L553" s="616">
        <f>IF(A531&lt;=$F$3,C553+F553-I553,0)</f>
        <v>0</v>
      </c>
      <c r="M553" s="617">
        <f>IF(A531&lt;=$F$3,D553+G553-J553,0)</f>
        <v>0</v>
      </c>
      <c r="N553" s="598">
        <f>IF(A531&lt;=$F$3,E553+H553-K553,0)</f>
        <v>0</v>
      </c>
      <c r="O553" s="635">
        <f>IF(A531&lt;=$F$3,F553*Q553+G553*R553+H553*S553,0)</f>
        <v>0</v>
      </c>
      <c r="P553" s="636">
        <f>IF(A531&lt;=$F$3,I553*Q553+J553*R553+K553*S553,0)</f>
        <v>0</v>
      </c>
      <c r="Q553" s="651">
        <f t="shared" si="192"/>
        <v>52550.000000000044</v>
      </c>
      <c r="R553" s="652">
        <f t="shared" si="192"/>
        <v>81020.160000000062</v>
      </c>
      <c r="S553" s="653">
        <f t="shared" si="192"/>
        <v>84960.160000000062</v>
      </c>
      <c r="T553" s="651">
        <f t="shared" si="189"/>
        <v>0</v>
      </c>
      <c r="U553" s="654" t="e">
        <f>$AH$6*(1-AE$31)*((1+HLOOKUP($A$481,FC_Premissas!$D$5:$W$16,14,FALSE)^0.0833-1))*L553*12</f>
        <v>#REF!</v>
      </c>
      <c r="V553" s="652">
        <f t="shared" si="190"/>
        <v>0</v>
      </c>
      <c r="W553" s="678" t="e">
        <f>$AP$6*(1-AM$31)*((1+HLOOKUP($A$481,FC_Premissas!$D$5:$W$16,14,FALSE))^0.0833-1)*M553*12</f>
        <v>#REF!</v>
      </c>
      <c r="X553" s="651">
        <f t="shared" si="191"/>
        <v>0</v>
      </c>
      <c r="Y553" s="654" t="e">
        <f>$AX$6*(1-AU$31)*((1+HLOOKUP($A$481,FC_Premissas!$D$5:$W$16,14,FALSE))^0.0833-1)*N553*12</f>
        <v>#REF!</v>
      </c>
      <c r="Z553" s="652">
        <f t="shared" si="188"/>
        <v>0</v>
      </c>
      <c r="AA553" s="654" t="e">
        <f t="shared" si="188"/>
        <v>#REF!</v>
      </c>
      <c r="AB553" s="641"/>
    </row>
    <row r="554" spans="1:28" hidden="1" x14ac:dyDescent="0.2">
      <c r="A554" s="984"/>
      <c r="B554" s="655" t="s">
        <v>1228</v>
      </c>
      <c r="C554" s="656">
        <f t="shared" ref="C554:P554" si="193">SUM(C533:C553)</f>
        <v>0</v>
      </c>
      <c r="D554" s="657">
        <f t="shared" si="193"/>
        <v>0</v>
      </c>
      <c r="E554" s="658">
        <f t="shared" si="193"/>
        <v>0</v>
      </c>
      <c r="F554" s="656">
        <f t="shared" si="193"/>
        <v>0</v>
      </c>
      <c r="G554" s="657">
        <f t="shared" si="193"/>
        <v>0</v>
      </c>
      <c r="H554" s="658">
        <f t="shared" si="193"/>
        <v>0</v>
      </c>
      <c r="I554" s="656">
        <f t="shared" si="193"/>
        <v>0</v>
      </c>
      <c r="J554" s="657">
        <f t="shared" si="193"/>
        <v>0</v>
      </c>
      <c r="K554" s="658">
        <f t="shared" si="193"/>
        <v>0</v>
      </c>
      <c r="L554" s="656">
        <f t="shared" si="193"/>
        <v>0</v>
      </c>
      <c r="M554" s="657">
        <f t="shared" si="193"/>
        <v>0</v>
      </c>
      <c r="N554" s="657">
        <f t="shared" si="193"/>
        <v>0</v>
      </c>
      <c r="O554" s="659">
        <f t="shared" si="193"/>
        <v>0</v>
      </c>
      <c r="P554" s="660">
        <f t="shared" si="193"/>
        <v>0</v>
      </c>
      <c r="Q554" s="638"/>
      <c r="R554" s="638"/>
      <c r="S554" s="638"/>
      <c r="T554" s="661">
        <f t="shared" ref="T554:AA554" si="194">SUM(T533:T553)</f>
        <v>0</v>
      </c>
      <c r="U554" s="662" t="e">
        <f t="shared" si="194"/>
        <v>#REF!</v>
      </c>
      <c r="V554" s="663">
        <f t="shared" si="194"/>
        <v>0</v>
      </c>
      <c r="W554" s="662" t="e">
        <f t="shared" si="194"/>
        <v>#REF!</v>
      </c>
      <c r="X554" s="663">
        <f t="shared" si="194"/>
        <v>0</v>
      </c>
      <c r="Y554" s="662" t="e">
        <f t="shared" si="194"/>
        <v>#REF!</v>
      </c>
      <c r="Z554" s="663">
        <f t="shared" si="194"/>
        <v>0</v>
      </c>
      <c r="AA554" s="664" t="e">
        <f t="shared" si="194"/>
        <v>#REF!</v>
      </c>
      <c r="AB554" s="641"/>
    </row>
    <row r="555" spans="1:28" hidden="1" x14ac:dyDescent="0.2">
      <c r="A555" s="985"/>
      <c r="B555" s="977" t="s">
        <v>1229</v>
      </c>
      <c r="C555" s="977"/>
      <c r="D555" s="977"/>
      <c r="E555" s="666" t="e">
        <f>(L555*L554+M555*M554+N555*N554)/(L554+M554+N554)</f>
        <v>#DIV/0!</v>
      </c>
      <c r="F555" s="665" t="s">
        <v>140</v>
      </c>
      <c r="G555" s="665"/>
      <c r="H555" s="665"/>
      <c r="I555" s="665"/>
      <c r="J555" s="665"/>
      <c r="K555" s="665"/>
      <c r="L555" s="887">
        <f>IF(L554=0,0,(SUMPRODUCT(L533:L553,$B533:$B553)/L554))</f>
        <v>0</v>
      </c>
      <c r="M555" s="887">
        <f>IF(M554=0,0,(SUMPRODUCT(M533:M553,$B533:$B553)/M554))</f>
        <v>0</v>
      </c>
      <c r="N555" s="887">
        <f>IF(N554=0,0,ROUND(SUMPRODUCT(N533:N553,$B533:$B553)/N554,0))</f>
        <v>0</v>
      </c>
      <c r="O555" s="667"/>
      <c r="P555" s="668"/>
      <c r="Q555" s="638"/>
      <c r="R555" s="638"/>
      <c r="S555" s="638"/>
      <c r="T555" s="638"/>
      <c r="U555" s="669"/>
      <c r="V555" s="638"/>
      <c r="W555" s="669"/>
      <c r="X555" s="638"/>
      <c r="Y555" s="669"/>
      <c r="Z555" s="638"/>
      <c r="AA555" s="669"/>
    </row>
    <row r="556" spans="1:28" ht="12.75" hidden="1" customHeight="1" x14ac:dyDescent="0.2">
      <c r="A556" s="983">
        <f>A531+1</f>
        <v>23</v>
      </c>
      <c r="B556" s="986" t="s">
        <v>1077</v>
      </c>
      <c r="C556" s="988" t="s">
        <v>1202</v>
      </c>
      <c r="D556" s="989"/>
      <c r="E556" s="990"/>
      <c r="F556" s="991" t="s">
        <v>1203</v>
      </c>
      <c r="G556" s="992"/>
      <c r="H556" s="993"/>
      <c r="I556" s="991" t="s">
        <v>1204</v>
      </c>
      <c r="J556" s="992"/>
      <c r="K556" s="993"/>
      <c r="L556" s="991" t="s">
        <v>1205</v>
      </c>
      <c r="M556" s="992"/>
      <c r="N556" s="992"/>
      <c r="O556" s="978" t="s">
        <v>1206</v>
      </c>
      <c r="P556" s="979"/>
      <c r="Q556" s="980" t="s">
        <v>1207</v>
      </c>
      <c r="R556" s="981"/>
      <c r="S556" s="982"/>
      <c r="T556" s="607" t="s">
        <v>1208</v>
      </c>
      <c r="U556" s="609" t="s">
        <v>1209</v>
      </c>
      <c r="V556" s="608" t="s">
        <v>1210</v>
      </c>
      <c r="W556" s="610" t="s">
        <v>1211</v>
      </c>
      <c r="X556" s="607" t="s">
        <v>1210</v>
      </c>
      <c r="Y556" s="609" t="s">
        <v>1211</v>
      </c>
      <c r="Z556" s="607" t="s">
        <v>1210</v>
      </c>
      <c r="AA556" s="609" t="s">
        <v>1211</v>
      </c>
    </row>
    <row r="557" spans="1:28" hidden="1" x14ac:dyDescent="0.2">
      <c r="A557" s="984"/>
      <c r="B557" s="987"/>
      <c r="C557" s="616" t="str">
        <f>$C$7</f>
        <v>Mini</v>
      </c>
      <c r="D557" s="617" t="str">
        <f>$D$7</f>
        <v>Midi</v>
      </c>
      <c r="E557" s="617" t="str">
        <f>$E$7</f>
        <v>Básico</v>
      </c>
      <c r="F557" s="616" t="str">
        <f>$C$7</f>
        <v>Mini</v>
      </c>
      <c r="G557" s="617" t="str">
        <f>$D$7</f>
        <v>Midi</v>
      </c>
      <c r="H557" s="617" t="str">
        <f>$E$7</f>
        <v>Básico</v>
      </c>
      <c r="I557" s="616" t="str">
        <f>$C$7</f>
        <v>Mini</v>
      </c>
      <c r="J557" s="617" t="str">
        <f>$D$7</f>
        <v>Midi</v>
      </c>
      <c r="K557" s="617" t="str">
        <f>$E$7</f>
        <v>Básico</v>
      </c>
      <c r="L557" s="616" t="str">
        <f>$C$7</f>
        <v>Mini</v>
      </c>
      <c r="M557" s="617" t="str">
        <f>$D$7</f>
        <v>Midi</v>
      </c>
      <c r="N557" s="617" t="str">
        <f>$E$7</f>
        <v>Básico</v>
      </c>
      <c r="O557" s="667" t="s">
        <v>1203</v>
      </c>
      <c r="P557" s="668" t="s">
        <v>1204</v>
      </c>
      <c r="Q557" s="620" t="str">
        <f>C557</f>
        <v>Mini</v>
      </c>
      <c r="R557" s="621" t="str">
        <f>D557</f>
        <v>Midi</v>
      </c>
      <c r="S557" s="622" t="str">
        <f>E557</f>
        <v>Básico</v>
      </c>
      <c r="T557" s="623" t="str">
        <f>C557</f>
        <v>Mini</v>
      </c>
      <c r="U557" s="624" t="str">
        <f>C557</f>
        <v>Mini</v>
      </c>
      <c r="V557" s="625" t="str">
        <f>D557</f>
        <v>Midi</v>
      </c>
      <c r="W557" s="626" t="str">
        <f>D557</f>
        <v>Midi</v>
      </c>
      <c r="X557" s="623" t="str">
        <f>E557</f>
        <v>Básico</v>
      </c>
      <c r="Y557" s="624" t="str">
        <f>E557</f>
        <v>Básico</v>
      </c>
      <c r="Z557" s="627" t="s">
        <v>1218</v>
      </c>
      <c r="AA557" s="628" t="s">
        <v>1218</v>
      </c>
    </row>
    <row r="558" spans="1:28" hidden="1" x14ac:dyDescent="0.2">
      <c r="A558" s="984"/>
      <c r="B558" s="633">
        <v>0</v>
      </c>
      <c r="C558" s="634">
        <v>0</v>
      </c>
      <c r="F558" s="679"/>
      <c r="G558" s="680"/>
      <c r="H558" s="680"/>
      <c r="I558" s="679"/>
      <c r="J558" s="680"/>
      <c r="K558" s="680"/>
      <c r="L558" s="634">
        <f>IF(A556&lt;=$F$3,C558+F558-I558,0)</f>
        <v>0</v>
      </c>
      <c r="M558" s="598">
        <f>IF(A556&lt;=$F$3,D558+G558-J558,0)</f>
        <v>0</v>
      </c>
      <c r="N558" s="598">
        <f>IF(A556&lt;=$F$3,E558+H558-K558,0)</f>
        <v>0</v>
      </c>
      <c r="O558" s="635">
        <f>IF(A556&lt;=$F$3,F558*Q558+G558*R558+H558*S558,0)</f>
        <v>0</v>
      </c>
      <c r="P558" s="636">
        <f>IF(A556&lt;=$F$3,I558*Q558+J558*R558+K558*S558,0)</f>
        <v>0</v>
      </c>
      <c r="Q558" s="637">
        <f t="shared" ref="Q558:S573" si="195">Q533</f>
        <v>525500</v>
      </c>
      <c r="R558" s="638">
        <f t="shared" si="195"/>
        <v>703800</v>
      </c>
      <c r="S558" s="639">
        <f t="shared" si="195"/>
        <v>743200</v>
      </c>
      <c r="T558" s="637">
        <f>L558*$AH$6*AD$12</f>
        <v>0</v>
      </c>
      <c r="U558" s="640" t="e">
        <f>$AH$6*(1-AE$11)*((1+HLOOKUP($A$481,FC_Premissas!$D$5:$W$16,14,FALSE)^0.0833-1))*L558*12</f>
        <v>#REF!</v>
      </c>
      <c r="V558" s="638">
        <f>M558*$AP$6*AL$12</f>
        <v>0</v>
      </c>
      <c r="W558" s="669" t="e">
        <f>$AP$6*(1-AM$11)*((1+HLOOKUP($A$481,FC_Premissas!$D$5:$W$16,14,FALSE)^0.0833-1))*M558*12</f>
        <v>#REF!</v>
      </c>
      <c r="X558" s="637">
        <f>N558*$AX$6*AT$12</f>
        <v>0</v>
      </c>
      <c r="Y558" s="640" t="e">
        <f>$AX$6*(1-AU$11)*((1+HLOOKUP($A$481,FC_Premissas!$D$5:$W$16,14,FALSE)^0.0833-1))*N558*12</f>
        <v>#REF!</v>
      </c>
      <c r="Z558" s="638">
        <f t="shared" ref="Z558:AA578" si="196">T558+V558+X558</f>
        <v>0</v>
      </c>
      <c r="AA558" s="669" t="e">
        <f t="shared" si="196"/>
        <v>#REF!</v>
      </c>
      <c r="AB558" s="641"/>
    </row>
    <row r="559" spans="1:28" hidden="1" x14ac:dyDescent="0.2">
      <c r="A559" s="984"/>
      <c r="B559" s="633">
        <v>1</v>
      </c>
      <c r="C559" s="634">
        <f>IF(A556&lt;=$F$3,L533,0)</f>
        <v>0</v>
      </c>
      <c r="D559" s="598">
        <f>IF(A556&lt;=$F$3,M533,0)</f>
        <v>0</v>
      </c>
      <c r="E559" s="598">
        <f>IF(A556&lt;=$F$3,N533,0)</f>
        <v>0</v>
      </c>
      <c r="F559" s="679"/>
      <c r="G559" s="680"/>
      <c r="H559" s="680"/>
      <c r="I559" s="681"/>
      <c r="J559" s="680"/>
      <c r="K559" s="680"/>
      <c r="L559" s="634">
        <f>IF(A556&lt;=$F$3,C559+F559-I559,0)</f>
        <v>0</v>
      </c>
      <c r="M559" s="598">
        <f>IF(A556&lt;=$F$3,D559+G559-J559,0)</f>
        <v>0</v>
      </c>
      <c r="N559" s="598">
        <f>IF(A556&lt;=$F$3,E559+H559-K559,0)</f>
        <v>0</v>
      </c>
      <c r="O559" s="635">
        <f>IF(A556&lt;=$F$3,F559*Q559+G559*R559+H559*S559,0)</f>
        <v>0</v>
      </c>
      <c r="P559" s="636">
        <f>IF(A556&lt;=$F$3,I559*Q559+J559*R559+K559*S559,0)</f>
        <v>0</v>
      </c>
      <c r="Q559" s="637">
        <f t="shared" si="195"/>
        <v>439509.09090909094</v>
      </c>
      <c r="R559" s="638">
        <f t="shared" si="195"/>
        <v>590567.30181818188</v>
      </c>
      <c r="S559" s="639">
        <f t="shared" si="195"/>
        <v>623520.02909090917</v>
      </c>
      <c r="T559" s="637">
        <f>L559*$AH$6*AD$13</f>
        <v>0</v>
      </c>
      <c r="U559" s="640" t="e">
        <f>$AH$6*(1-AE$12)*((1+HLOOKUP($A$481,FC_Premissas!$D$5:$W$16,14,FALSE)^0.0833-1))*L559*12</f>
        <v>#REF!</v>
      </c>
      <c r="V559" s="638">
        <f>M559*$AP$6*AL$13</f>
        <v>0</v>
      </c>
      <c r="W559" s="669" t="e">
        <f>$AP$6*(1-AM$12)*((1+HLOOKUP($A$481,FC_Premissas!$D$5:$W$16,14,FALSE))^0.0833-1)*M559*12</f>
        <v>#REF!</v>
      </c>
      <c r="X559" s="637">
        <f>N559*$AX$6*AT$13</f>
        <v>0</v>
      </c>
      <c r="Y559" s="640" t="e">
        <f>$AX$6*(1-AU$12)*((1+HLOOKUP($A$481,FC_Premissas!$D$5:$W$16,14,FALSE))^0.0833-1)*N559*12</f>
        <v>#REF!</v>
      </c>
      <c r="Z559" s="638">
        <f t="shared" si="196"/>
        <v>0</v>
      </c>
      <c r="AA559" s="669" t="e">
        <f t="shared" si="196"/>
        <v>#REF!</v>
      </c>
      <c r="AB559" s="641"/>
    </row>
    <row r="560" spans="1:28" hidden="1" x14ac:dyDescent="0.2">
      <c r="A560" s="984"/>
      <c r="B560" s="633">
        <v>2</v>
      </c>
      <c r="C560" s="634">
        <f>IF(A556&lt;=$F$3,L534,0)</f>
        <v>0</v>
      </c>
      <c r="D560" s="598">
        <f>IF(A556&lt;=$F$3,M534,0)</f>
        <v>0</v>
      </c>
      <c r="E560" s="598">
        <f>IF(A556&lt;=$F$3,N534,0)</f>
        <v>0</v>
      </c>
      <c r="F560" s="679"/>
      <c r="G560" s="680"/>
      <c r="H560" s="680"/>
      <c r="I560" s="679"/>
      <c r="J560" s="680"/>
      <c r="K560" s="680"/>
      <c r="L560" s="634">
        <f>IF(A556&lt;=$F$3,C560+F560-I560,0)</f>
        <v>0</v>
      </c>
      <c r="M560" s="598">
        <f>IF(A556&lt;=$F$3,D560+G560-J560,0)</f>
        <v>0</v>
      </c>
      <c r="N560" s="598">
        <f>IF(A556&lt;=$F$3,E560+H560-K560,0)</f>
        <v>0</v>
      </c>
      <c r="O560" s="635">
        <f>IF(A556&lt;=$F$3,F560*Q560+G560*R560+H560*S560,0)</f>
        <v>0</v>
      </c>
      <c r="P560" s="636">
        <f>IF(A556&lt;=$F$3,I560*Q560+J560*R560+K560*S560,0)</f>
        <v>0</v>
      </c>
      <c r="Q560" s="637">
        <f t="shared" si="195"/>
        <v>362117.27272727271</v>
      </c>
      <c r="R560" s="638">
        <f t="shared" si="195"/>
        <v>488657.87345454545</v>
      </c>
      <c r="S560" s="639">
        <f t="shared" si="195"/>
        <v>515808.05527272727</v>
      </c>
      <c r="T560" s="637">
        <f>L560*$AH$6*AD$14</f>
        <v>0</v>
      </c>
      <c r="U560" s="640" t="e">
        <f>$AH$6*(1-AE$13)*((1+HLOOKUP($A$481,FC_Premissas!$D$5:$W$16,14,FALSE)^0.0833-1))*L560*12</f>
        <v>#REF!</v>
      </c>
      <c r="V560" s="638">
        <f>M560*$AP$6*AL$14</f>
        <v>0</v>
      </c>
      <c r="W560" s="669" t="e">
        <f>$AP$6*(1-AM$13)*((1+HLOOKUP($A$481,FC_Premissas!$D$5:$W$16,14,FALSE))^0.0833-1)*M560*12</f>
        <v>#REF!</v>
      </c>
      <c r="X560" s="637">
        <f>N560*$AX$6*AT$14</f>
        <v>0</v>
      </c>
      <c r="Y560" s="640" t="e">
        <f>$AX$6*(1-AU$13)*((1+HLOOKUP($A$481,FC_Premissas!$D$5:$W$16,14,FALSE))^0.0833-1)*N560*12</f>
        <v>#REF!</v>
      </c>
      <c r="Z560" s="638">
        <f t="shared" si="196"/>
        <v>0</v>
      </c>
      <c r="AA560" s="669" t="e">
        <f t="shared" si="196"/>
        <v>#REF!</v>
      </c>
      <c r="AB560" s="641"/>
    </row>
    <row r="561" spans="1:28" hidden="1" x14ac:dyDescent="0.2">
      <c r="A561" s="984"/>
      <c r="B561" s="633">
        <v>3</v>
      </c>
      <c r="C561" s="634">
        <f>IF(A556&lt;=$F$3,L535,0)</f>
        <v>0</v>
      </c>
      <c r="D561" s="598">
        <f>IF(A556&lt;=$F$3,M535,0)</f>
        <v>0</v>
      </c>
      <c r="E561" s="598">
        <f>IF(A556&lt;=$F$3,N535,0)</f>
        <v>0</v>
      </c>
      <c r="F561" s="679"/>
      <c r="G561" s="680"/>
      <c r="H561" s="680"/>
      <c r="I561" s="679"/>
      <c r="J561" s="680"/>
      <c r="K561" s="680"/>
      <c r="L561" s="634">
        <f>IF(A556&lt;=$F$3,C561+F561-I561,0)</f>
        <v>0</v>
      </c>
      <c r="M561" s="598">
        <f>IF(A556&lt;=$F$3,D561+G561-J561,0)</f>
        <v>0</v>
      </c>
      <c r="N561" s="598">
        <f>IF(A556&lt;=$F$3,E561+H561-K561,0)</f>
        <v>0</v>
      </c>
      <c r="O561" s="635">
        <f>IF(A556&lt;=$F$3,F561*Q561+G561*R561+H561*S561,0)</f>
        <v>0</v>
      </c>
      <c r="P561" s="636">
        <f>IF(A556&lt;=$F$3,I561*Q561+J561*R561+K561*S561,0)</f>
        <v>0</v>
      </c>
      <c r="Q561" s="637">
        <f t="shared" si="195"/>
        <v>293324.54545454541</v>
      </c>
      <c r="R561" s="638">
        <f t="shared" si="195"/>
        <v>398071.71490909089</v>
      </c>
      <c r="S561" s="639">
        <f t="shared" si="195"/>
        <v>420064.07854545448</v>
      </c>
      <c r="T561" s="637">
        <f>L561*$AH$6*AD$15</f>
        <v>0</v>
      </c>
      <c r="U561" s="640" t="e">
        <f>$AH$6*(1-AE$14)*((1+HLOOKUP($A$481,FC_Premissas!$D$5:$W$16,14,FALSE)^0.0833-1))*L561*12</f>
        <v>#REF!</v>
      </c>
      <c r="V561" s="638">
        <f>M561*$AP$6*AL$15</f>
        <v>0</v>
      </c>
      <c r="W561" s="669" t="e">
        <f>$AP$6*(1-AM$14)*((1+HLOOKUP($A$481,FC_Premissas!$D$5:$W$16,14,FALSE))^0.0833-1)*M561*12</f>
        <v>#REF!</v>
      </c>
      <c r="X561" s="637">
        <f>N561*$AX$6*AT$15</f>
        <v>0</v>
      </c>
      <c r="Y561" s="640" t="e">
        <f>$AX$6*(1-AU$14)*((1+HLOOKUP($A$481,FC_Premissas!$D$5:$W$16,14,FALSE))^0.0833-1)*N561*12</f>
        <v>#REF!</v>
      </c>
      <c r="Z561" s="638">
        <f t="shared" si="196"/>
        <v>0</v>
      </c>
      <c r="AA561" s="669" t="e">
        <f t="shared" si="196"/>
        <v>#REF!</v>
      </c>
      <c r="AB561" s="641"/>
    </row>
    <row r="562" spans="1:28" hidden="1" x14ac:dyDescent="0.2">
      <c r="A562" s="984"/>
      <c r="B562" s="633">
        <v>4</v>
      </c>
      <c r="C562" s="634">
        <f>IF(A556&lt;=$F$3,L536,0)</f>
        <v>0</v>
      </c>
      <c r="D562" s="598">
        <f>IF(A556&lt;=$F$3,M536,0)</f>
        <v>0</v>
      </c>
      <c r="E562" s="598">
        <f>IF(A556&lt;=$F$3,N536,0)</f>
        <v>0</v>
      </c>
      <c r="F562" s="679"/>
      <c r="G562" s="680"/>
      <c r="H562" s="680"/>
      <c r="I562" s="679"/>
      <c r="J562" s="680"/>
      <c r="K562" s="680"/>
      <c r="L562" s="634">
        <f>IF(A556&lt;=$F$3,C562+F562-I562,0)</f>
        <v>0</v>
      </c>
      <c r="M562" s="598">
        <f>IF(A556&lt;=$F$3,D562+G562-J562,0)</f>
        <v>0</v>
      </c>
      <c r="N562" s="598">
        <f>IF(A556&lt;=$F$3,E562+H562-K562,0)</f>
        <v>0</v>
      </c>
      <c r="O562" s="635">
        <f>IF(A556&lt;=$F$3,F562*Q562+G562*R562+H562*S562,0)</f>
        <v>0</v>
      </c>
      <c r="P562" s="636">
        <f>IF(A556&lt;=$F$3,I562*Q562+J562*R562+K562*S562,0)</f>
        <v>0</v>
      </c>
      <c r="Q562" s="637">
        <f t="shared" si="195"/>
        <v>233130.90909090909</v>
      </c>
      <c r="R562" s="638">
        <f t="shared" si="195"/>
        <v>318808.82618181815</v>
      </c>
      <c r="S562" s="639">
        <f t="shared" si="195"/>
        <v>336288.09890909091</v>
      </c>
      <c r="T562" s="637">
        <f>L562*$AH$6*AD$16</f>
        <v>0</v>
      </c>
      <c r="U562" s="640" t="e">
        <f>$AH$6*(1-AE$15)*((1+HLOOKUP($A$481,FC_Premissas!$D$5:$W$16,14,FALSE)^0.0833-1))*L562*12</f>
        <v>#REF!</v>
      </c>
      <c r="V562" s="638">
        <f>M562*$AP$6*AL$16</f>
        <v>0</v>
      </c>
      <c r="W562" s="669" t="e">
        <f>$AP$6*(1-AM$15)*((1+HLOOKUP($A$481,FC_Premissas!$D$5:$W$16,14,FALSE))^0.0833-1)*M562*12</f>
        <v>#REF!</v>
      </c>
      <c r="X562" s="637">
        <f>N562*$AX$6*AT$16</f>
        <v>0</v>
      </c>
      <c r="Y562" s="640" t="e">
        <f>$AX$6*(1-AU$15)*((1+HLOOKUP($A$481,FC_Premissas!$D$5:$W$16,14,FALSE))^0.0833-1)*N562*12</f>
        <v>#REF!</v>
      </c>
      <c r="Z562" s="638">
        <f t="shared" si="196"/>
        <v>0</v>
      </c>
      <c r="AA562" s="669" t="e">
        <f t="shared" si="196"/>
        <v>#REF!</v>
      </c>
      <c r="AB562" s="641"/>
    </row>
    <row r="563" spans="1:28" hidden="1" x14ac:dyDescent="0.2">
      <c r="A563" s="984"/>
      <c r="B563" s="633">
        <v>5</v>
      </c>
      <c r="C563" s="634">
        <f>IF(A556&lt;=$F$3,L537,0)</f>
        <v>0</v>
      </c>
      <c r="D563" s="598">
        <f>IF(A556&lt;=$F$3,M537,0)</f>
        <v>0</v>
      </c>
      <c r="E563" s="598">
        <f>IF(A556&lt;=$F$3,N537,0)</f>
        <v>0</v>
      </c>
      <c r="F563" s="679"/>
      <c r="G563" s="680"/>
      <c r="H563" s="680"/>
      <c r="I563" s="679"/>
      <c r="J563" s="680"/>
      <c r="K563" s="680"/>
      <c r="L563" s="634">
        <f>IF(A556&lt;=$F$3,C563+F563-I563,0)</f>
        <v>0</v>
      </c>
      <c r="M563" s="598">
        <f>IF(A556&lt;=$F$3,D563+G563-J563,0)</f>
        <v>0</v>
      </c>
      <c r="N563" s="598">
        <f>IF(A556&lt;=$F$3,E563+H563-K563,0)</f>
        <v>0</v>
      </c>
      <c r="O563" s="635">
        <f>IF(A556&lt;=$F$3,F563*Q563+G563*R563+H563*S563,0)</f>
        <v>0</v>
      </c>
      <c r="P563" s="636">
        <f>IF(A556&lt;=$F$3,I563*Q563+J563*R563+K563*S563,0)</f>
        <v>0</v>
      </c>
      <c r="Q563" s="637">
        <f t="shared" si="195"/>
        <v>181536.36363636365</v>
      </c>
      <c r="R563" s="638">
        <f t="shared" si="195"/>
        <v>250869.20727272728</v>
      </c>
      <c r="S563" s="639">
        <f t="shared" si="195"/>
        <v>264480.11636363639</v>
      </c>
      <c r="T563" s="637">
        <f>L563*$AH$6*AD$17</f>
        <v>0</v>
      </c>
      <c r="U563" s="640" t="e">
        <f>$AH$6*(1-AE$16)*((1+HLOOKUP($A$481,FC_Premissas!$D$5:$W$16,14,FALSE)^0.0833-1))*L563*12</f>
        <v>#REF!</v>
      </c>
      <c r="V563" s="638">
        <f>M563*$AP$6*AL$17</f>
        <v>0</v>
      </c>
      <c r="W563" s="669" t="e">
        <f>$AP$6*(1-AM$16)*((1+HLOOKUP($A$481,FC_Premissas!$D$5:$W$16,14,FALSE))^0.0833-1)*M563*12</f>
        <v>#REF!</v>
      </c>
      <c r="X563" s="637">
        <f>N563*$AX$6*AT$17</f>
        <v>0</v>
      </c>
      <c r="Y563" s="640" t="e">
        <f>$AX$6*(1-AU$16)*((1+HLOOKUP($A$481,FC_Premissas!$D$5:$W$16,14,FALSE))^0.0833-1)*N563*12</f>
        <v>#REF!</v>
      </c>
      <c r="Z563" s="638">
        <f t="shared" si="196"/>
        <v>0</v>
      </c>
      <c r="AA563" s="669" t="e">
        <f t="shared" si="196"/>
        <v>#REF!</v>
      </c>
      <c r="AB563" s="641"/>
    </row>
    <row r="564" spans="1:28" hidden="1" x14ac:dyDescent="0.2">
      <c r="A564" s="984"/>
      <c r="B564" s="633">
        <v>6</v>
      </c>
      <c r="C564" s="634">
        <f>IF(A556&lt;=$F$3,L538,0)</f>
        <v>0</v>
      </c>
      <c r="D564" s="598">
        <f>IF(A556&lt;=$F$3,M538,0)</f>
        <v>0</v>
      </c>
      <c r="E564" s="598">
        <f>IF(A556&lt;=$F$3,N538,0)</f>
        <v>0</v>
      </c>
      <c r="F564" s="679"/>
      <c r="G564" s="680"/>
      <c r="H564" s="680"/>
      <c r="I564" s="679"/>
      <c r="J564" s="680"/>
      <c r="K564" s="680"/>
      <c r="L564" s="634">
        <f>IF(A556&lt;=$F$3,C564+F564-I564,0)</f>
        <v>0</v>
      </c>
      <c r="M564" s="598">
        <f>IF(A556&lt;=$F$3,D564+G564-J564,0)</f>
        <v>0</v>
      </c>
      <c r="N564" s="598">
        <f>IF(A556&lt;=$F$3,E564+H564-K564,0)</f>
        <v>0</v>
      </c>
      <c r="O564" s="635">
        <f>IF(A556&lt;=$F$3,F564*Q564+G564*R564+H564*S564,0)</f>
        <v>0</v>
      </c>
      <c r="P564" s="636">
        <f>IF(A556&lt;=$F$3,I564*Q564+J564*R564+K564*S564,0)</f>
        <v>0</v>
      </c>
      <c r="Q564" s="637">
        <f t="shared" si="195"/>
        <v>138540.90909090912</v>
      </c>
      <c r="R564" s="638">
        <f t="shared" si="195"/>
        <v>194252.85818181818</v>
      </c>
      <c r="S564" s="639">
        <f t="shared" si="195"/>
        <v>204640.13090909092</v>
      </c>
      <c r="T564" s="637">
        <f>L564*$AH$6*AD$18</f>
        <v>0</v>
      </c>
      <c r="U564" s="640" t="e">
        <f>$AH$6*(1-AE$17)*((1+HLOOKUP($A$481,FC_Premissas!$D$5:$W$16,14,FALSE)^0.0833-1))*L564*12</f>
        <v>#REF!</v>
      </c>
      <c r="V564" s="638">
        <f>M564*$AP$6*AL$18</f>
        <v>0</v>
      </c>
      <c r="W564" s="669" t="e">
        <f>$AP$6*(1-AM$17)*((1+HLOOKUP($A$481,FC_Premissas!$D$5:$W$16,14,FALSE))^0.0833-1)*M564*12</f>
        <v>#REF!</v>
      </c>
      <c r="X564" s="637">
        <f>N564*$AX$6*AT$18</f>
        <v>0</v>
      </c>
      <c r="Y564" s="640" t="e">
        <f>$AX$6*(1-AU$17)*((1+HLOOKUP($A$481,FC_Premissas!$D$5:$W$16,14,FALSE))^0.0833-1)*N564*12</f>
        <v>#REF!</v>
      </c>
      <c r="Z564" s="638">
        <f t="shared" si="196"/>
        <v>0</v>
      </c>
      <c r="AA564" s="669" t="e">
        <f t="shared" si="196"/>
        <v>#REF!</v>
      </c>
      <c r="AB564" s="641"/>
    </row>
    <row r="565" spans="1:28" hidden="1" x14ac:dyDescent="0.2">
      <c r="A565" s="984"/>
      <c r="B565" s="633">
        <v>7</v>
      </c>
      <c r="C565" s="634">
        <f>IF(A556&lt;=$F$3,L539,0)</f>
        <v>0</v>
      </c>
      <c r="D565" s="598">
        <f>IF(A556&lt;=$F$3,M539,0)</f>
        <v>0</v>
      </c>
      <c r="E565" s="598">
        <f>IF(A556&lt;=$F$3,N539,0)</f>
        <v>0</v>
      </c>
      <c r="F565" s="679"/>
      <c r="G565" s="680"/>
      <c r="H565" s="680"/>
      <c r="I565" s="679"/>
      <c r="J565" s="680"/>
      <c r="K565" s="680"/>
      <c r="L565" s="634">
        <f>IF(A556&lt;=$F$3,C565+F565-I565,0)</f>
        <v>0</v>
      </c>
      <c r="M565" s="598">
        <f>IF(A556&lt;=$F$3,D565+G565-J565,0)</f>
        <v>0</v>
      </c>
      <c r="N565" s="598">
        <f>IF(A556&lt;=$F$3,E565+H565-K565,0)</f>
        <v>0</v>
      </c>
      <c r="O565" s="635">
        <f>IF(A556&lt;=$F$3,F565*Q565+G565*R565+H565*S565,0)</f>
        <v>0</v>
      </c>
      <c r="P565" s="636">
        <f>IF(A556&lt;=$F$3,I565*Q565+J565*R565+K565*S565,0)</f>
        <v>0</v>
      </c>
      <c r="Q565" s="637">
        <f t="shared" si="195"/>
        <v>104144.54545454548</v>
      </c>
      <c r="R565" s="638">
        <f t="shared" si="195"/>
        <v>148959.77890909094</v>
      </c>
      <c r="S565" s="639">
        <f t="shared" si="195"/>
        <v>156768.14254545458</v>
      </c>
      <c r="T565" s="637">
        <f>L565*$AH$6*AD$19</f>
        <v>0</v>
      </c>
      <c r="U565" s="640" t="e">
        <f>$AH$6*(1-AE$18)*((1+HLOOKUP($A$481,FC_Premissas!$D$5:$W$16,14,FALSE)^0.0833-1))*L565*12</f>
        <v>#REF!</v>
      </c>
      <c r="V565" s="638">
        <f>M565*$AP$6*AL$19</f>
        <v>0</v>
      </c>
      <c r="W565" s="669" t="e">
        <f>$AP$6*(1-AM$18)*((1+HLOOKUP($A$481,FC_Premissas!$D$5:$W$16,14,FALSE))^0.0833-1)*M565*12</f>
        <v>#REF!</v>
      </c>
      <c r="X565" s="637">
        <f>N565*$AX$6*AT$19</f>
        <v>0</v>
      </c>
      <c r="Y565" s="640" t="e">
        <f>$AX$6*(1-AU$18)*((1+HLOOKUP($A$481,FC_Premissas!$D$5:$W$16,14,FALSE))^0.0833-1)*N565*12</f>
        <v>#REF!</v>
      </c>
      <c r="Z565" s="638">
        <f t="shared" si="196"/>
        <v>0</v>
      </c>
      <c r="AA565" s="669" t="e">
        <f t="shared" si="196"/>
        <v>#REF!</v>
      </c>
      <c r="AB565" s="641"/>
    </row>
    <row r="566" spans="1:28" hidden="1" x14ac:dyDescent="0.2">
      <c r="A566" s="984"/>
      <c r="B566" s="633">
        <v>8</v>
      </c>
      <c r="C566" s="634">
        <f>IF(A556&lt;=$F$3,L540,0)</f>
        <v>0</v>
      </c>
      <c r="D566" s="598">
        <f>IF(A556&lt;=$F$3,M540,0)</f>
        <v>0</v>
      </c>
      <c r="E566" s="598">
        <f>IF(A556&lt;=$F$3,N540,0)</f>
        <v>0</v>
      </c>
      <c r="F566" s="679"/>
      <c r="G566" s="680"/>
      <c r="H566" s="680"/>
      <c r="I566" s="679"/>
      <c r="J566" s="680"/>
      <c r="K566" s="680"/>
      <c r="L566" s="634">
        <f>IF(A556&lt;=$F$3,C566+F566-I566,0)</f>
        <v>0</v>
      </c>
      <c r="M566" s="598">
        <f>IF(A556&lt;=$F$3,D566+G566-J566,0)</f>
        <v>0</v>
      </c>
      <c r="N566" s="598">
        <f>IF(A556&lt;=$F$3,E566+H566-K566,0)</f>
        <v>0</v>
      </c>
      <c r="O566" s="635">
        <f>IF(A556&lt;=$F$3,F566*Q566+G566*R566+H566*S566,0)</f>
        <v>0</v>
      </c>
      <c r="P566" s="636">
        <f>IF(A556&lt;=$F$3,I566*Q566+J566*R566+K566*S566,0)</f>
        <v>0</v>
      </c>
      <c r="Q566" s="637">
        <f t="shared" si="195"/>
        <v>78347.272727272764</v>
      </c>
      <c r="R566" s="638">
        <f t="shared" si="195"/>
        <v>114989.9694545455</v>
      </c>
      <c r="S566" s="639">
        <f t="shared" si="195"/>
        <v>120864.15127272732</v>
      </c>
      <c r="T566" s="637">
        <f>L566*$AH$6*AD$20</f>
        <v>0</v>
      </c>
      <c r="U566" s="640" t="e">
        <f>$AH$6*(1-AE$19)*((1+HLOOKUP($A$481,FC_Premissas!$D$5:$W$16,14,FALSE)^0.0833-1))*L566*12</f>
        <v>#REF!</v>
      </c>
      <c r="V566" s="638">
        <f>M566*$AP$6*AL$20</f>
        <v>0</v>
      </c>
      <c r="W566" s="669" t="e">
        <f>$AP$6*(1-AM$19)*((1+HLOOKUP($A$481,FC_Premissas!$D$5:$W$16,14,FALSE))^0.0833-1)*M566*12</f>
        <v>#REF!</v>
      </c>
      <c r="X566" s="637">
        <f>N566*$AX$6*AT$20</f>
        <v>0</v>
      </c>
      <c r="Y566" s="640" t="e">
        <f>$AX$6*(1-AU$19)*((1+HLOOKUP($A$481,FC_Premissas!$D$5:$W$16,14,FALSE))^0.0833-1)*N566*12</f>
        <v>#REF!</v>
      </c>
      <c r="Z566" s="638">
        <f t="shared" si="196"/>
        <v>0</v>
      </c>
      <c r="AA566" s="669" t="e">
        <f t="shared" si="196"/>
        <v>#REF!</v>
      </c>
      <c r="AB566" s="641"/>
    </row>
    <row r="567" spans="1:28" hidden="1" x14ac:dyDescent="0.2">
      <c r="A567" s="984"/>
      <c r="B567" s="633">
        <v>9</v>
      </c>
      <c r="C567" s="634">
        <f>IF(A556&lt;=$F$3,L541,0)</f>
        <v>0</v>
      </c>
      <c r="D567" s="598">
        <f>IF(A556&lt;=$F$3,M541,0)</f>
        <v>0</v>
      </c>
      <c r="E567" s="598">
        <f>IF(A556&lt;=$F$3,N541,0)</f>
        <v>0</v>
      </c>
      <c r="F567" s="679"/>
      <c r="G567" s="680"/>
      <c r="H567" s="680"/>
      <c r="I567" s="679"/>
      <c r="J567" s="680"/>
      <c r="K567" s="680"/>
      <c r="L567" s="634">
        <f>IF(A556&lt;=$F$3,C567+F567-I567,0)</f>
        <v>0</v>
      </c>
      <c r="M567" s="598">
        <f>IF(A556&lt;=$F$3,D567+G567-J567,0)</f>
        <v>0</v>
      </c>
      <c r="N567" s="598">
        <f>IF(A556&lt;=$F$3,E567+H567-K567,0)</f>
        <v>0</v>
      </c>
      <c r="O567" s="635">
        <f>IF(A556&lt;=$F$3,F567*Q567+G567*R567+H567*S567,0)</f>
        <v>0</v>
      </c>
      <c r="P567" s="636">
        <f>IF(A556&lt;=$F$3,I567*Q567+J567*R567+K567*S567,0)</f>
        <v>0</v>
      </c>
      <c r="Q567" s="637">
        <f t="shared" si="195"/>
        <v>61149.090909090955</v>
      </c>
      <c r="R567" s="638">
        <f t="shared" si="195"/>
        <v>92343.429818181874</v>
      </c>
      <c r="S567" s="639">
        <f t="shared" si="195"/>
        <v>96928.157090909139</v>
      </c>
      <c r="T567" s="637">
        <f>L567*$AH$6*AD$21</f>
        <v>0</v>
      </c>
      <c r="U567" s="640" t="e">
        <f>$AH$6*(1-AE$20)*((1+HLOOKUP($A$481,FC_Premissas!$D$5:$W$16,14,FALSE)^0.0833-1))*L567*12</f>
        <v>#REF!</v>
      </c>
      <c r="V567" s="638">
        <f>M567*$AP$6*AL$21</f>
        <v>0</v>
      </c>
      <c r="W567" s="669" t="e">
        <f>$AP$6*(1-AM$20)*((1+HLOOKUP($A$481,FC_Premissas!$D$5:$W$16,14,FALSE))^0.0833-1)*M567*12</f>
        <v>#REF!</v>
      </c>
      <c r="X567" s="637">
        <f>N567*$AX$6*AT$21</f>
        <v>0</v>
      </c>
      <c r="Y567" s="640" t="e">
        <f>$AX$6*(1-AU$20)*((1+HLOOKUP($A$481,FC_Premissas!$D$5:$W$16,14,FALSE))^0.0833-1)*N567*12</f>
        <v>#REF!</v>
      </c>
      <c r="Z567" s="638">
        <f t="shared" si="196"/>
        <v>0</v>
      </c>
      <c r="AA567" s="669" t="e">
        <f t="shared" si="196"/>
        <v>#REF!</v>
      </c>
      <c r="AB567" s="641"/>
    </row>
    <row r="568" spans="1:28" hidden="1" x14ac:dyDescent="0.2">
      <c r="A568" s="984"/>
      <c r="B568" s="633">
        <v>10</v>
      </c>
      <c r="C568" s="634">
        <f>IF(A556&lt;=$F$3,L542,0)</f>
        <v>0</v>
      </c>
      <c r="D568" s="598">
        <f>IF(A556&lt;=$F$3,M542,0)</f>
        <v>0</v>
      </c>
      <c r="E568" s="598">
        <f>IF(A556&lt;=$F$3,N542,0)</f>
        <v>0</v>
      </c>
      <c r="F568" s="679"/>
      <c r="G568" s="680"/>
      <c r="H568" s="680"/>
      <c r="I568" s="679"/>
      <c r="J568" s="680"/>
      <c r="K568" s="680"/>
      <c r="L568" s="634">
        <f>IF(A556&lt;=$F$3,C568+F568-I568,0)</f>
        <v>0</v>
      </c>
      <c r="M568" s="598">
        <f>IF(A556&lt;=$F$3,D568+G568-J568,0)</f>
        <v>0</v>
      </c>
      <c r="N568" s="598">
        <f>IF(A556&lt;=$F$3,E568+H568-K568,0)</f>
        <v>0</v>
      </c>
      <c r="O568" s="635">
        <f>IF(A556&lt;=$F$3,F568*Q568+G568*R568+H568*S568,0)</f>
        <v>0</v>
      </c>
      <c r="P568" s="636">
        <f>IF(A556&lt;=$F$3,I568*Q568+J568*R568+K568*S568,0)</f>
        <v>0</v>
      </c>
      <c r="Q568" s="637">
        <f t="shared" si="195"/>
        <v>52550.000000000044</v>
      </c>
      <c r="R568" s="638">
        <f t="shared" si="195"/>
        <v>81020.160000000062</v>
      </c>
      <c r="S568" s="639">
        <f t="shared" si="195"/>
        <v>84960.160000000062</v>
      </c>
      <c r="T568" s="637">
        <f>L568*$AH$6*AD$22</f>
        <v>0</v>
      </c>
      <c r="U568" s="640" t="e">
        <f>$AH$6*(1-AE$21)*((1+HLOOKUP($A$481,FC_Premissas!$D$5:$W$16,14,FALSE)^0.0833-1))*L568*12</f>
        <v>#REF!</v>
      </c>
      <c r="V568" s="638">
        <f>M568*$AP$6*AL$22</f>
        <v>0</v>
      </c>
      <c r="W568" s="669" t="e">
        <f>$AP$6*(1-AM$21)*((1+HLOOKUP($A$481,FC_Premissas!$D$5:$W$16,14,FALSE))^0.0833-1)*M568*12</f>
        <v>#REF!</v>
      </c>
      <c r="X568" s="637">
        <f>N568*$AX$6*AT$22</f>
        <v>0</v>
      </c>
      <c r="Y568" s="640" t="e">
        <f>$AX$6*(1-AU$21)*((1+HLOOKUP($A$481,FC_Premissas!$D$5:$W$16,14,FALSE))^0.0833-1)*N568*12</f>
        <v>#REF!</v>
      </c>
      <c r="Z568" s="638">
        <f t="shared" si="196"/>
        <v>0</v>
      </c>
      <c r="AA568" s="669" t="e">
        <f t="shared" si="196"/>
        <v>#REF!</v>
      </c>
      <c r="AB568" s="641"/>
    </row>
    <row r="569" spans="1:28" hidden="1" x14ac:dyDescent="0.2">
      <c r="A569" s="984"/>
      <c r="B569" s="633">
        <v>11</v>
      </c>
      <c r="C569" s="634">
        <f>IF(A556&lt;=$F$3,L543,0)</f>
        <v>0</v>
      </c>
      <c r="D569" s="598">
        <f>IF(A556&lt;=$F$3,M543,0)</f>
        <v>0</v>
      </c>
      <c r="E569" s="598">
        <f>IF(A556&lt;=$F$3,N543,0)</f>
        <v>0</v>
      </c>
      <c r="F569" s="679"/>
      <c r="G569" s="680"/>
      <c r="H569" s="680"/>
      <c r="I569" s="679"/>
      <c r="J569" s="680"/>
      <c r="K569" s="680"/>
      <c r="L569" s="634">
        <f>IF(A556&lt;=$F$3,C569+F569-I569,0)</f>
        <v>0</v>
      </c>
      <c r="M569" s="598">
        <f>IF(A556&lt;=$F$3,D569+G569-J569,0)</f>
        <v>0</v>
      </c>
      <c r="N569" s="598">
        <f>IF(A556&lt;=$F$3,E569+H569-K569,0)</f>
        <v>0</v>
      </c>
      <c r="O569" s="635">
        <f>IF(A556&lt;=$F$3,F569*Q569+G569*R569+H569*S569,0)</f>
        <v>0</v>
      </c>
      <c r="P569" s="636">
        <f>IF(A556&lt;=$F$3,I569*Q569+J569*R569+K569*S569,0)</f>
        <v>0</v>
      </c>
      <c r="Q569" s="637">
        <f t="shared" si="195"/>
        <v>52550.000000000044</v>
      </c>
      <c r="R569" s="638">
        <f t="shared" si="195"/>
        <v>81020.160000000062</v>
      </c>
      <c r="S569" s="639">
        <f t="shared" si="195"/>
        <v>84960.160000000062</v>
      </c>
      <c r="T569" s="637">
        <f>L569*$AH$6*AD$23</f>
        <v>0</v>
      </c>
      <c r="U569" s="640" t="e">
        <f>$AH$6*(1-AE$22)*((1+HLOOKUP($A$481,FC_Premissas!$D$5:$W$16,14,FALSE)^0.0833-1))*L569*12</f>
        <v>#REF!</v>
      </c>
      <c r="V569" s="638">
        <f>M569*$AP$6*AL$23</f>
        <v>0</v>
      </c>
      <c r="W569" s="669" t="e">
        <f>$AP$6*(1-AM$22)*((1+HLOOKUP($A$481,FC_Premissas!$D$5:$W$16,14,FALSE))^0.0833-1)*M569*12</f>
        <v>#REF!</v>
      </c>
      <c r="X569" s="637">
        <f>N569*$AX$6*AT$23</f>
        <v>0</v>
      </c>
      <c r="Y569" s="640" t="e">
        <f>$AX$6*(1-AU$22)*((1+HLOOKUP($A$481,FC_Premissas!$D$5:$W$16,14,FALSE))^0.0833-1)*N569*12</f>
        <v>#REF!</v>
      </c>
      <c r="Z569" s="638">
        <f t="shared" si="196"/>
        <v>0</v>
      </c>
      <c r="AA569" s="669" t="e">
        <f t="shared" si="196"/>
        <v>#REF!</v>
      </c>
      <c r="AB569" s="641"/>
    </row>
    <row r="570" spans="1:28" hidden="1" x14ac:dyDescent="0.2">
      <c r="A570" s="984"/>
      <c r="B570" s="633">
        <v>12</v>
      </c>
      <c r="C570" s="634">
        <f>IF(A556&lt;=$F$3,L544,0)</f>
        <v>0</v>
      </c>
      <c r="D570" s="598">
        <f>IF(A556&lt;=$F$3,M544,0)</f>
        <v>0</v>
      </c>
      <c r="E570" s="598">
        <f>IF(A556&lt;=$F$3,N544,0)</f>
        <v>0</v>
      </c>
      <c r="F570" s="679"/>
      <c r="G570" s="680"/>
      <c r="H570" s="680"/>
      <c r="I570" s="679"/>
      <c r="J570" s="680"/>
      <c r="K570" s="680"/>
      <c r="L570" s="634">
        <f>IF(A556&lt;=$F$3,C570+F570-I570,0)</f>
        <v>0</v>
      </c>
      <c r="M570" s="598">
        <f>IF(A556&lt;=$F$3,D570+G570-J570,0)</f>
        <v>0</v>
      </c>
      <c r="N570" s="598">
        <f>IF(A556&lt;=$F$3,E570+H570-K570,0)</f>
        <v>0</v>
      </c>
      <c r="O570" s="635">
        <f>IF(A556&lt;=$F$3,F570*Q570+G570*R570+H570*S570,0)</f>
        <v>0</v>
      </c>
      <c r="P570" s="636">
        <f>IF(A556&lt;=$F$3,I570*Q570+J570*R570+K570*S570,0)</f>
        <v>0</v>
      </c>
      <c r="Q570" s="637">
        <f t="shared" si="195"/>
        <v>52550.000000000044</v>
      </c>
      <c r="R570" s="638">
        <f t="shared" si="195"/>
        <v>81020.160000000062</v>
      </c>
      <c r="S570" s="639">
        <f t="shared" si="195"/>
        <v>84960.160000000062</v>
      </c>
      <c r="T570" s="637">
        <f>L570*$AH$6*AD$24</f>
        <v>0</v>
      </c>
      <c r="U570" s="640" t="e">
        <f>$AH$6*(1-AE$23)*((1+HLOOKUP($A$481,FC_Premissas!$D$5:$W$16,14,FALSE)^0.0833-1))*L570*12</f>
        <v>#REF!</v>
      </c>
      <c r="V570" s="638">
        <f>M570*$AP$6*AL$24</f>
        <v>0</v>
      </c>
      <c r="W570" s="669" t="e">
        <f>$AP$6*(1-AM$23)*((1+HLOOKUP($A$481,FC_Premissas!$D$5:$W$16,14,FALSE))^0.0833-1)*M570*12</f>
        <v>#REF!</v>
      </c>
      <c r="X570" s="637">
        <f>N570*$AX$6*AT$24</f>
        <v>0</v>
      </c>
      <c r="Y570" s="640" t="e">
        <f>$AX$6*(1-AU$23)*((1+HLOOKUP($A$481,FC_Premissas!$D$5:$W$16,14,FALSE))^0.0833-1)*N570*12</f>
        <v>#REF!</v>
      </c>
      <c r="Z570" s="638">
        <f t="shared" si="196"/>
        <v>0</v>
      </c>
      <c r="AA570" s="669" t="e">
        <f t="shared" si="196"/>
        <v>#REF!</v>
      </c>
      <c r="AB570" s="641"/>
    </row>
    <row r="571" spans="1:28" ht="11.25" hidden="1" customHeight="1" x14ac:dyDescent="0.2">
      <c r="A571" s="984"/>
      <c r="B571" s="633">
        <v>13</v>
      </c>
      <c r="C571" s="634">
        <f>IF(A556&lt;=$F$3,L545,0)</f>
        <v>0</v>
      </c>
      <c r="D571" s="598">
        <f>IF(A556&lt;=$F$3,M545,0)</f>
        <v>0</v>
      </c>
      <c r="E571" s="650">
        <f>IF(A556&lt;=$F$3,N545,0)</f>
        <v>0</v>
      </c>
      <c r="F571" s="634"/>
      <c r="G571" s="598"/>
      <c r="H571" s="598"/>
      <c r="I571" s="634"/>
      <c r="J571" s="598"/>
      <c r="K571" s="598">
        <v>0</v>
      </c>
      <c r="L571" s="634">
        <f>IF(A556&lt;=$F$3,C571+F571-I571,0)</f>
        <v>0</v>
      </c>
      <c r="M571" s="598">
        <f>IF(A556&lt;=$F$3,D571+G571-J571,0)</f>
        <v>0</v>
      </c>
      <c r="N571" s="598">
        <f>IF(A556&lt;=$F$3,E571+H571-K571,0)</f>
        <v>0</v>
      </c>
      <c r="O571" s="635">
        <f>IF(A556&lt;=$F$3,F571*Q571+G571*R571+H571*S571,0)</f>
        <v>0</v>
      </c>
      <c r="P571" s="636">
        <f>IF(A556&lt;=$F$3,I571*Q571+J571*R571+K571*S571,0)</f>
        <v>0</v>
      </c>
      <c r="Q571" s="637">
        <f t="shared" si="195"/>
        <v>52550.000000000044</v>
      </c>
      <c r="R571" s="638">
        <f t="shared" si="195"/>
        <v>81020.160000000062</v>
      </c>
      <c r="S571" s="639">
        <f t="shared" si="195"/>
        <v>84960.160000000062</v>
      </c>
      <c r="T571" s="637">
        <f>L571*$AH$6*AD$25</f>
        <v>0</v>
      </c>
      <c r="U571" s="640" t="e">
        <f>$AH$6*(1-AE$24)*((1+HLOOKUP($A$481,FC_Premissas!$D$5:$W$16,14,FALSE)^0.0833-1))*L571*12</f>
        <v>#REF!</v>
      </c>
      <c r="V571" s="638">
        <f>M571*$AP$6*AL$25</f>
        <v>0</v>
      </c>
      <c r="W571" s="669" t="e">
        <f>$AP$6*(1-AM$24)*((1+HLOOKUP($A$481,FC_Premissas!$D$5:$W$16,14,FALSE))^0.0833-1)*M571*12</f>
        <v>#REF!</v>
      </c>
      <c r="X571" s="637">
        <f>N571*$AX$6*AT$25</f>
        <v>0</v>
      </c>
      <c r="Y571" s="640" t="e">
        <f>$AX$6*(1-AU$24)*((1+HLOOKUP($A$481,FC_Premissas!$D$5:$W$16,14,FALSE))^0.0833-1)*N571*12</f>
        <v>#REF!</v>
      </c>
      <c r="Z571" s="638">
        <f t="shared" si="196"/>
        <v>0</v>
      </c>
      <c r="AA571" s="669" t="e">
        <f t="shared" si="196"/>
        <v>#REF!</v>
      </c>
      <c r="AB571" s="641"/>
    </row>
    <row r="572" spans="1:28" ht="11.25" hidden="1" customHeight="1" x14ac:dyDescent="0.2">
      <c r="A572" s="984"/>
      <c r="B572" s="633">
        <v>14</v>
      </c>
      <c r="C572" s="634">
        <f>IF(A556&lt;=$F$3,L546,0)</f>
        <v>0</v>
      </c>
      <c r="D572" s="598">
        <f>IF(A556&lt;=$F$3,M546,0)</f>
        <v>0</v>
      </c>
      <c r="E572" s="650">
        <f>IF(A556&lt;=$F$3,N546,0)</f>
        <v>0</v>
      </c>
      <c r="F572" s="634"/>
      <c r="G572" s="598"/>
      <c r="H572" s="598"/>
      <c r="I572" s="634"/>
      <c r="J572" s="598"/>
      <c r="K572" s="598"/>
      <c r="L572" s="634">
        <f>IF(A556&lt;=$F$3,C572+F572-I572,0)</f>
        <v>0</v>
      </c>
      <c r="M572" s="598">
        <f>IF(A556&lt;=$F$3,D572+G572-J572,0)</f>
        <v>0</v>
      </c>
      <c r="N572" s="598">
        <f>IF(A556&lt;=$F$3,E572+H572-K572,0)</f>
        <v>0</v>
      </c>
      <c r="O572" s="635">
        <f>IF(A556&lt;=$F$3,F572*Q572+G572*R572+H572*S572,0)</f>
        <v>0</v>
      </c>
      <c r="P572" s="636">
        <f>IF(A556&lt;=$F$3,I572*Q572+J572*R572+K572*S572,0)</f>
        <v>0</v>
      </c>
      <c r="Q572" s="637">
        <f t="shared" si="195"/>
        <v>52550.000000000044</v>
      </c>
      <c r="R572" s="638">
        <f t="shared" si="195"/>
        <v>81020.160000000062</v>
      </c>
      <c r="S572" s="639">
        <f t="shared" si="195"/>
        <v>84960.160000000062</v>
      </c>
      <c r="T572" s="637">
        <f>L572*$AH$6*AD$26</f>
        <v>0</v>
      </c>
      <c r="U572" s="640" t="e">
        <f>$AH$6*(1-AE$25)*((1+HLOOKUP($A$481,FC_Premissas!$D$5:$W$16,14,FALSE)^0.0833-1))*L572*12</f>
        <v>#REF!</v>
      </c>
      <c r="V572" s="638">
        <f>M572*$AP$6*AL$26</f>
        <v>0</v>
      </c>
      <c r="W572" s="669" t="e">
        <f>$AP$6*(1-AM$25)*((1+HLOOKUP($A$481,FC_Premissas!$D$5:$W$16,14,FALSE))^0.0833-1)*M572*12</f>
        <v>#REF!</v>
      </c>
      <c r="X572" s="637">
        <f>N572*$AX$6*AT$26</f>
        <v>0</v>
      </c>
      <c r="Y572" s="640" t="e">
        <f>$AX$6*(1-AU$25)*((1+HLOOKUP($A$481,FC_Premissas!$D$5:$W$16,14,FALSE))^0.0833-1)*N572*12</f>
        <v>#REF!</v>
      </c>
      <c r="Z572" s="638">
        <f t="shared" si="196"/>
        <v>0</v>
      </c>
      <c r="AA572" s="669" t="e">
        <f t="shared" si="196"/>
        <v>#REF!</v>
      </c>
      <c r="AB572" s="641"/>
    </row>
    <row r="573" spans="1:28" ht="11.25" hidden="1" customHeight="1" x14ac:dyDescent="0.2">
      <c r="A573" s="984"/>
      <c r="B573" s="633">
        <v>15</v>
      </c>
      <c r="C573" s="634">
        <f>IF(A556&lt;=$F$3,L547,0)</f>
        <v>0</v>
      </c>
      <c r="D573" s="598">
        <f>IF(A556&lt;=$F$3,M547,0)</f>
        <v>0</v>
      </c>
      <c r="E573" s="650">
        <f>IF(A556&lt;=$F$3,N547,0)</f>
        <v>0</v>
      </c>
      <c r="F573" s="634"/>
      <c r="G573" s="598"/>
      <c r="H573" s="598"/>
      <c r="I573" s="634"/>
      <c r="J573" s="598"/>
      <c r="K573" s="598"/>
      <c r="L573" s="634">
        <f>IF(A556&lt;=$F$3,C573+F573-I573,0)</f>
        <v>0</v>
      </c>
      <c r="M573" s="598">
        <f>IF(A556&lt;=$F$3,D573+G573-J573,0)</f>
        <v>0</v>
      </c>
      <c r="N573" s="598">
        <f>IF(A556&lt;=$F$3,E573+H573-K573,0)</f>
        <v>0</v>
      </c>
      <c r="O573" s="635">
        <f>IF(A556&lt;=$F$3,F573*Q573+G573*R573+H573*S573,0)</f>
        <v>0</v>
      </c>
      <c r="P573" s="636">
        <f>IF(A556&lt;=$F$3,I573*Q573+J573*R573+K573*S573,0)</f>
        <v>0</v>
      </c>
      <c r="Q573" s="637">
        <f t="shared" si="195"/>
        <v>52550.000000000044</v>
      </c>
      <c r="R573" s="638">
        <f t="shared" si="195"/>
        <v>81020.160000000062</v>
      </c>
      <c r="S573" s="639">
        <f t="shared" si="195"/>
        <v>84960.160000000062</v>
      </c>
      <c r="T573" s="637">
        <f t="shared" ref="T573:T578" si="197">L573*$AH$6*AD$27</f>
        <v>0</v>
      </c>
      <c r="U573" s="640" t="e">
        <f>$AH$6*(1-AE$26)*((1+HLOOKUP($A$481,FC_Premissas!$D$5:$W$16,14,FALSE)^0.0833-1))*L573*12</f>
        <v>#REF!</v>
      </c>
      <c r="V573" s="638">
        <f t="shared" ref="V573:V578" si="198">M573*$AP$6*AL$27</f>
        <v>0</v>
      </c>
      <c r="W573" s="669" t="e">
        <f>$AP$6*(1-AM$26)*((1+HLOOKUP($A$481,FC_Premissas!$D$5:$W$16,14,FALSE))^0.0833-1)*M573*12</f>
        <v>#REF!</v>
      </c>
      <c r="X573" s="637">
        <f t="shared" ref="X573:X578" si="199">N573*$AX$6*AT$27</f>
        <v>0</v>
      </c>
      <c r="Y573" s="640" t="e">
        <f>$AX$6*(1-AU$26)*((1+HLOOKUP($A$481,FC_Premissas!$D$5:$W$16,14,FALSE))^0.0833-1)*N573*12</f>
        <v>#REF!</v>
      </c>
      <c r="Z573" s="638">
        <f t="shared" si="196"/>
        <v>0</v>
      </c>
      <c r="AA573" s="640" t="e">
        <f t="shared" si="196"/>
        <v>#REF!</v>
      </c>
      <c r="AB573" s="641"/>
    </row>
    <row r="574" spans="1:28" hidden="1" x14ac:dyDescent="0.2">
      <c r="A574" s="984"/>
      <c r="B574" s="633">
        <v>16</v>
      </c>
      <c r="C574" s="634">
        <f>IF(A556&lt;=$F$3,L548,0)</f>
        <v>0</v>
      </c>
      <c r="D574" s="598">
        <f>IF(A556&lt;=$F$3,M548,0)</f>
        <v>0</v>
      </c>
      <c r="E574" s="650">
        <f>IF(A556&lt;=$F$3,N548,0)</f>
        <v>0</v>
      </c>
      <c r="F574" s="634"/>
      <c r="G574" s="598"/>
      <c r="H574" s="598"/>
      <c r="I574" s="634"/>
      <c r="J574" s="598"/>
      <c r="K574" s="598"/>
      <c r="L574" s="634">
        <f>IF(A556&lt;=$F$3,C574+F574-I574,0)</f>
        <v>0</v>
      </c>
      <c r="M574" s="598">
        <f>IF(A556&lt;=$F$3,D574+G574-J574,0)</f>
        <v>0</v>
      </c>
      <c r="N574" s="598">
        <f>IF(A556&lt;=$F$3,E574+H574-K574,0)</f>
        <v>0</v>
      </c>
      <c r="O574" s="635">
        <f>IF(A556&lt;=$F$3,F574*Q574+G574*R574+H574*S574,0)</f>
        <v>0</v>
      </c>
      <c r="P574" s="636">
        <f>IF(A556&lt;=$F$3,I574*Q574+J574*R574+K574*S574,0)</f>
        <v>0</v>
      </c>
      <c r="Q574" s="637">
        <f t="shared" ref="Q574:S578" si="200">Q549</f>
        <v>52550.000000000044</v>
      </c>
      <c r="R574" s="638">
        <f t="shared" si="200"/>
        <v>81020.160000000062</v>
      </c>
      <c r="S574" s="639">
        <f t="shared" si="200"/>
        <v>84960.160000000062</v>
      </c>
      <c r="T574" s="637">
        <f t="shared" si="197"/>
        <v>0</v>
      </c>
      <c r="U574" s="640" t="e">
        <f>$AH$6*(1-AE$27)*((1+HLOOKUP($A$481,FC_Premissas!$D$5:$W$16,14,FALSE)^0.0833-1))*L574*12</f>
        <v>#REF!</v>
      </c>
      <c r="V574" s="638">
        <f t="shared" si="198"/>
        <v>0</v>
      </c>
      <c r="W574" s="669" t="e">
        <f>$AP$6*(1-AM$27)*((1+HLOOKUP($A$481,FC_Premissas!$D$5:$W$16,14,FALSE))^0.0833-1)*M574*12</f>
        <v>#REF!</v>
      </c>
      <c r="X574" s="637">
        <f t="shared" si="199"/>
        <v>0</v>
      </c>
      <c r="Y574" s="640" t="e">
        <f>$AX$6*(1-AU$27)*((1+HLOOKUP($A$481,FC_Premissas!$D$5:$W$16,14,FALSE))^0.0833-1)*N574*12</f>
        <v>#REF!</v>
      </c>
      <c r="Z574" s="638">
        <f t="shared" si="196"/>
        <v>0</v>
      </c>
      <c r="AA574" s="640" t="e">
        <f t="shared" si="196"/>
        <v>#REF!</v>
      </c>
      <c r="AB574" s="641"/>
    </row>
    <row r="575" spans="1:28" hidden="1" x14ac:dyDescent="0.2">
      <c r="A575" s="984"/>
      <c r="B575" s="633">
        <v>17</v>
      </c>
      <c r="C575" s="634">
        <f>IF(A556&lt;=$F$3,L549,0)</f>
        <v>0</v>
      </c>
      <c r="D575" s="598">
        <f>IF(A556&lt;=$F$3,M549,0)</f>
        <v>0</v>
      </c>
      <c r="E575" s="650">
        <f>IF(A556&lt;=$F$3,N549,0)</f>
        <v>0</v>
      </c>
      <c r="F575" s="634"/>
      <c r="G575" s="598"/>
      <c r="H575" s="598"/>
      <c r="I575" s="634"/>
      <c r="J575" s="598"/>
      <c r="K575" s="598"/>
      <c r="L575" s="634">
        <f>IF(A556&lt;=$F$3,C575+F575-I575,0)</f>
        <v>0</v>
      </c>
      <c r="M575" s="598">
        <f>IF(A556&lt;=$F$3,D575+G575-J575,0)</f>
        <v>0</v>
      </c>
      <c r="N575" s="598">
        <f>IF(A556&lt;=$F$3,E575+H575-K575,0)</f>
        <v>0</v>
      </c>
      <c r="O575" s="635">
        <f>IF(A556&lt;=$F$3,F575*Q575+G575*R575+H575*S575,0)</f>
        <v>0</v>
      </c>
      <c r="P575" s="636">
        <f>IF(A556&lt;=$F$3,I575*Q575+J575*R575+K575*S575,0)</f>
        <v>0</v>
      </c>
      <c r="Q575" s="637">
        <f t="shared" si="200"/>
        <v>52550.000000000044</v>
      </c>
      <c r="R575" s="638">
        <f t="shared" si="200"/>
        <v>81020.160000000062</v>
      </c>
      <c r="S575" s="639">
        <f t="shared" si="200"/>
        <v>84960.160000000062</v>
      </c>
      <c r="T575" s="637">
        <f t="shared" si="197"/>
        <v>0</v>
      </c>
      <c r="U575" s="640" t="e">
        <f>$AH$6*(1-AE$28)*((1+HLOOKUP($A$481,FC_Premissas!$D$5:$W$16,14,FALSE)^0.0833-1))*L575*12</f>
        <v>#REF!</v>
      </c>
      <c r="V575" s="638">
        <f t="shared" si="198"/>
        <v>0</v>
      </c>
      <c r="W575" s="669" t="e">
        <f>$AP$6*(1-AM$28)*((1+HLOOKUP($A$481,FC_Premissas!$D$5:$W$16,14,FALSE))^0.0833-1)*M575*12</f>
        <v>#REF!</v>
      </c>
      <c r="X575" s="637">
        <f t="shared" si="199"/>
        <v>0</v>
      </c>
      <c r="Y575" s="640" t="e">
        <f>$AX$6*(1-AU$28)*((1+HLOOKUP($A$481,FC_Premissas!$D$5:$W$16,14,FALSE))^0.0833-1)*N575*12</f>
        <v>#REF!</v>
      </c>
      <c r="Z575" s="638">
        <f t="shared" si="196"/>
        <v>0</v>
      </c>
      <c r="AA575" s="640" t="e">
        <f t="shared" si="196"/>
        <v>#REF!</v>
      </c>
      <c r="AB575" s="641"/>
    </row>
    <row r="576" spans="1:28" hidden="1" x14ac:dyDescent="0.2">
      <c r="A576" s="984"/>
      <c r="B576" s="633">
        <v>18</v>
      </c>
      <c r="C576" s="634">
        <f>IF(A556&lt;=$F$3,L550,0)</f>
        <v>0</v>
      </c>
      <c r="D576" s="598">
        <f>IF(A556&lt;=$F$3,M550,0)</f>
        <v>0</v>
      </c>
      <c r="E576" s="650">
        <f>IF(A556&lt;=$F$3,N550,0)</f>
        <v>0</v>
      </c>
      <c r="F576" s="634"/>
      <c r="G576" s="598"/>
      <c r="H576" s="598"/>
      <c r="I576" s="634"/>
      <c r="J576" s="598"/>
      <c r="K576" s="598"/>
      <c r="L576" s="634">
        <f>IF(A556&lt;=$F$3,C576+F576-I576,0)</f>
        <v>0</v>
      </c>
      <c r="M576" s="598">
        <f>IF(A556&lt;=$F$3,D576+G576-J576,0)</f>
        <v>0</v>
      </c>
      <c r="N576" s="598">
        <f>IF(A556&lt;=$F$3,E576+H576-K576,0)</f>
        <v>0</v>
      </c>
      <c r="O576" s="635">
        <f>IF(A556&lt;=$F$3,F576*Q576+G576*R576+H576*S576,0)</f>
        <v>0</v>
      </c>
      <c r="P576" s="636">
        <f>IF(A556&lt;=$F$3,I576*Q576+J576*R576+K576*S576,0)</f>
        <v>0</v>
      </c>
      <c r="Q576" s="637">
        <f t="shared" si="200"/>
        <v>52550.000000000044</v>
      </c>
      <c r="R576" s="638">
        <f t="shared" si="200"/>
        <v>81020.160000000062</v>
      </c>
      <c r="S576" s="639">
        <f t="shared" si="200"/>
        <v>84960.160000000062</v>
      </c>
      <c r="T576" s="637">
        <f t="shared" si="197"/>
        <v>0</v>
      </c>
      <c r="U576" s="640" t="e">
        <f>$AH$6*(1-AE$29)*((1+HLOOKUP($A$481,FC_Premissas!$D$5:$W$16,14,FALSE)^0.0833-1))*L576*12</f>
        <v>#REF!</v>
      </c>
      <c r="V576" s="638">
        <f t="shared" si="198"/>
        <v>0</v>
      </c>
      <c r="W576" s="669" t="e">
        <f>$AP$6*(1-AM$29)*((1+HLOOKUP($A$481,FC_Premissas!$D$5:$W$16,14,FALSE))^0.0833-1)*M576*12</f>
        <v>#REF!</v>
      </c>
      <c r="X576" s="637">
        <f t="shared" si="199"/>
        <v>0</v>
      </c>
      <c r="Y576" s="640" t="e">
        <f>$AX$6*(1-AU$29)*((1+HLOOKUP($A$481,FC_Premissas!$D$5:$W$16,14,FALSE))^0.0833-1)*N576*12</f>
        <v>#REF!</v>
      </c>
      <c r="Z576" s="638">
        <f t="shared" si="196"/>
        <v>0</v>
      </c>
      <c r="AA576" s="640" t="e">
        <f t="shared" si="196"/>
        <v>#REF!</v>
      </c>
      <c r="AB576" s="641"/>
    </row>
    <row r="577" spans="1:28" hidden="1" x14ac:dyDescent="0.2">
      <c r="A577" s="984"/>
      <c r="B577" s="633">
        <v>19</v>
      </c>
      <c r="C577" s="634">
        <f>IF(A556&lt;=$F$3,L551,0)</f>
        <v>0</v>
      </c>
      <c r="D577" s="598">
        <f>IF(A556&lt;=$F$3,M551,0)</f>
        <v>0</v>
      </c>
      <c r="E577" s="650">
        <f>IF(A556&lt;=$F$3,N551,0)</f>
        <v>0</v>
      </c>
      <c r="F577" s="634"/>
      <c r="G577" s="598"/>
      <c r="H577" s="598"/>
      <c r="I577" s="634"/>
      <c r="J577" s="598"/>
      <c r="K577" s="598"/>
      <c r="L577" s="634">
        <f>IF(A556&lt;=$F$3,C577+F577-I577,0)</f>
        <v>0</v>
      </c>
      <c r="M577" s="598">
        <f>IF(A556&lt;=$F$3,D577+G577-J577,0)</f>
        <v>0</v>
      </c>
      <c r="N577" s="598">
        <f>IF(A556&lt;=$F$3,E577+H577-K577,0)</f>
        <v>0</v>
      </c>
      <c r="O577" s="635">
        <f>IF(A556&lt;=$F$3,F577*Q577+G577*R577+H577*S577,0)</f>
        <v>0</v>
      </c>
      <c r="P577" s="636">
        <f>IF(A556&lt;=$F$3,I577*Q577+J577*R577+K577*S577,0)</f>
        <v>0</v>
      </c>
      <c r="Q577" s="637">
        <f t="shared" si="200"/>
        <v>52550.000000000044</v>
      </c>
      <c r="R577" s="638">
        <f t="shared" si="200"/>
        <v>81020.160000000062</v>
      </c>
      <c r="S577" s="639">
        <f t="shared" si="200"/>
        <v>84960.160000000062</v>
      </c>
      <c r="T577" s="637">
        <f t="shared" si="197"/>
        <v>0</v>
      </c>
      <c r="U577" s="640" t="e">
        <f>$AH$6*(1-AE$30)*((1+HLOOKUP($A$481,FC_Premissas!$D$5:$W$16,14,FALSE)^0.0833-1))*L577*12</f>
        <v>#REF!</v>
      </c>
      <c r="V577" s="638">
        <f t="shared" si="198"/>
        <v>0</v>
      </c>
      <c r="W577" s="669" t="e">
        <f>$AP$6*(1-AM$30)*((1+HLOOKUP($A$481,FC_Premissas!$D$5:$W$16,14,FALSE))^0.0833-1)*M577*12</f>
        <v>#REF!</v>
      </c>
      <c r="X577" s="637">
        <f t="shared" si="199"/>
        <v>0</v>
      </c>
      <c r="Y577" s="640" t="e">
        <f>$AX$6*(1-AU$30)*((1+HLOOKUP($A$481,FC_Premissas!$D$5:$W$16,14,FALSE))^0.0833-1)*N577*12</f>
        <v>#REF!</v>
      </c>
      <c r="Z577" s="638">
        <f t="shared" si="196"/>
        <v>0</v>
      </c>
      <c r="AA577" s="640" t="e">
        <f t="shared" si="196"/>
        <v>#REF!</v>
      </c>
      <c r="AB577" s="641"/>
    </row>
    <row r="578" spans="1:28" hidden="1" x14ac:dyDescent="0.2">
      <c r="A578" s="984"/>
      <c r="B578" s="633">
        <v>20</v>
      </c>
      <c r="C578" s="616">
        <f>IF(A556&lt;=$F$3,L552,0)</f>
        <v>0</v>
      </c>
      <c r="D578" s="617">
        <f>IF(A556&lt;=$F$3,M552,0)</f>
        <v>0</v>
      </c>
      <c r="E578" s="650">
        <f>IF(A556&lt;=$F$3,N552,0)</f>
        <v>0</v>
      </c>
      <c r="F578" s="616"/>
      <c r="G578" s="617"/>
      <c r="H578" s="598"/>
      <c r="I578" s="616"/>
      <c r="J578" s="617"/>
      <c r="K578" s="598"/>
      <c r="L578" s="616">
        <f>IF(A556&lt;=$F$3,C578+F578-I578,0)</f>
        <v>0</v>
      </c>
      <c r="M578" s="617">
        <f>IF(A556&lt;=$F$3,D578+G578-J578,0)</f>
        <v>0</v>
      </c>
      <c r="N578" s="598">
        <f>IF(A556&lt;=$F$3,E578+H578-K578,0)</f>
        <v>0</v>
      </c>
      <c r="O578" s="635">
        <f>IF(A556&lt;=$F$3,F578*Q578+G578*R578+H578*S578,0)</f>
        <v>0</v>
      </c>
      <c r="P578" s="636">
        <f>IF(A556&lt;=$F$3,I578*Q578+J578*R578+K578*S578,0)</f>
        <v>0</v>
      </c>
      <c r="Q578" s="651">
        <f t="shared" si="200"/>
        <v>52550.000000000044</v>
      </c>
      <c r="R578" s="652">
        <f t="shared" si="200"/>
        <v>81020.160000000062</v>
      </c>
      <c r="S578" s="653">
        <f t="shared" si="200"/>
        <v>84960.160000000062</v>
      </c>
      <c r="T578" s="651">
        <f t="shared" si="197"/>
        <v>0</v>
      </c>
      <c r="U578" s="654" t="e">
        <f>$AH$6*(1-AE$31)*((1+HLOOKUP($A$481,FC_Premissas!$D$5:$W$16,14,FALSE)^0.0833-1))*L578*12</f>
        <v>#REF!</v>
      </c>
      <c r="V578" s="652">
        <f t="shared" si="198"/>
        <v>0</v>
      </c>
      <c r="W578" s="678" t="e">
        <f>$AP$6*(1-AM$31)*((1+HLOOKUP($A$481,FC_Premissas!$D$5:$W$16,14,FALSE))^0.0833-1)*M578*12</f>
        <v>#REF!</v>
      </c>
      <c r="X578" s="651">
        <f t="shared" si="199"/>
        <v>0</v>
      </c>
      <c r="Y578" s="654" t="e">
        <f>$AX$6*(1-AU$31)*((1+HLOOKUP($A$481,FC_Premissas!$D$5:$W$16,14,FALSE))^0.0833-1)*N578*12</f>
        <v>#REF!</v>
      </c>
      <c r="Z578" s="652">
        <f t="shared" si="196"/>
        <v>0</v>
      </c>
      <c r="AA578" s="654" t="e">
        <f t="shared" si="196"/>
        <v>#REF!</v>
      </c>
      <c r="AB578" s="641"/>
    </row>
    <row r="579" spans="1:28" hidden="1" x14ac:dyDescent="0.2">
      <c r="A579" s="984"/>
      <c r="B579" s="655" t="s">
        <v>1228</v>
      </c>
      <c r="C579" s="656">
        <f t="shared" ref="C579:P579" si="201">SUM(C558:C578)</f>
        <v>0</v>
      </c>
      <c r="D579" s="657">
        <f t="shared" si="201"/>
        <v>0</v>
      </c>
      <c r="E579" s="658">
        <f t="shared" si="201"/>
        <v>0</v>
      </c>
      <c r="F579" s="656">
        <f t="shared" si="201"/>
        <v>0</v>
      </c>
      <c r="G579" s="657">
        <f t="shared" si="201"/>
        <v>0</v>
      </c>
      <c r="H579" s="658">
        <f t="shared" si="201"/>
        <v>0</v>
      </c>
      <c r="I579" s="656">
        <f t="shared" si="201"/>
        <v>0</v>
      </c>
      <c r="J579" s="657">
        <f t="shared" si="201"/>
        <v>0</v>
      </c>
      <c r="K579" s="658">
        <f t="shared" si="201"/>
        <v>0</v>
      </c>
      <c r="L579" s="656">
        <f t="shared" si="201"/>
        <v>0</v>
      </c>
      <c r="M579" s="657">
        <f t="shared" si="201"/>
        <v>0</v>
      </c>
      <c r="N579" s="657">
        <f t="shared" si="201"/>
        <v>0</v>
      </c>
      <c r="O579" s="659">
        <f t="shared" si="201"/>
        <v>0</v>
      </c>
      <c r="P579" s="660">
        <f t="shared" si="201"/>
        <v>0</v>
      </c>
      <c r="Q579" s="638"/>
      <c r="R579" s="638"/>
      <c r="S579" s="638"/>
      <c r="T579" s="661">
        <f t="shared" ref="T579:AA579" si="202">SUM(T558:T578)</f>
        <v>0</v>
      </c>
      <c r="U579" s="662" t="e">
        <f t="shared" si="202"/>
        <v>#REF!</v>
      </c>
      <c r="V579" s="663">
        <f t="shared" si="202"/>
        <v>0</v>
      </c>
      <c r="W579" s="662" t="e">
        <f t="shared" si="202"/>
        <v>#REF!</v>
      </c>
      <c r="X579" s="663">
        <f t="shared" si="202"/>
        <v>0</v>
      </c>
      <c r="Y579" s="662" t="e">
        <f t="shared" si="202"/>
        <v>#REF!</v>
      </c>
      <c r="Z579" s="663">
        <f t="shared" si="202"/>
        <v>0</v>
      </c>
      <c r="AA579" s="664" t="e">
        <f t="shared" si="202"/>
        <v>#REF!</v>
      </c>
      <c r="AB579" s="641"/>
    </row>
    <row r="580" spans="1:28" hidden="1" x14ac:dyDescent="0.2">
      <c r="A580" s="985"/>
      <c r="B580" s="977" t="s">
        <v>1229</v>
      </c>
      <c r="C580" s="977"/>
      <c r="D580" s="977"/>
      <c r="E580" s="666" t="e">
        <f>(L580*L579+M580*M579+N580*N579)/(L579+M579+N579)</f>
        <v>#DIV/0!</v>
      </c>
      <c r="F580" s="665" t="s">
        <v>140</v>
      </c>
      <c r="G580" s="665"/>
      <c r="H580" s="665"/>
      <c r="I580" s="665"/>
      <c r="J580" s="665"/>
      <c r="K580" s="665"/>
      <c r="L580" s="887">
        <f>IF(L579=0,0,(SUMPRODUCT(L558:L578,$B558:$B578)/L579))</f>
        <v>0</v>
      </c>
      <c r="M580" s="887">
        <f>IF(M579=0,0,(SUMPRODUCT(M558:M578,$B558:$B578)/M579))</f>
        <v>0</v>
      </c>
      <c r="N580" s="887">
        <f>IF(N579=0,0,ROUND(SUMPRODUCT(N558:N578,$B558:$B578)/N579,0))</f>
        <v>0</v>
      </c>
      <c r="O580" s="667"/>
      <c r="P580" s="668"/>
      <c r="Q580" s="638"/>
      <c r="R580" s="638"/>
      <c r="S580" s="638"/>
      <c r="T580" s="638"/>
      <c r="U580" s="669"/>
      <c r="V580" s="638"/>
      <c r="W580" s="669"/>
      <c r="X580" s="638"/>
      <c r="Y580" s="669"/>
      <c r="Z580" s="638"/>
      <c r="AA580" s="669"/>
    </row>
    <row r="581" spans="1:28" ht="12.75" hidden="1" customHeight="1" x14ac:dyDescent="0.2">
      <c r="A581" s="983">
        <f>A556+1</f>
        <v>24</v>
      </c>
      <c r="B581" s="986" t="s">
        <v>1077</v>
      </c>
      <c r="C581" s="988" t="s">
        <v>1202</v>
      </c>
      <c r="D581" s="989"/>
      <c r="E581" s="990"/>
      <c r="F581" s="991" t="s">
        <v>1203</v>
      </c>
      <c r="G581" s="992"/>
      <c r="H581" s="993"/>
      <c r="I581" s="991" t="s">
        <v>1204</v>
      </c>
      <c r="J581" s="992"/>
      <c r="K581" s="993"/>
      <c r="L581" s="991" t="s">
        <v>1205</v>
      </c>
      <c r="M581" s="992"/>
      <c r="N581" s="992"/>
      <c r="O581" s="978" t="s">
        <v>1206</v>
      </c>
      <c r="P581" s="979"/>
      <c r="Q581" s="980" t="s">
        <v>1207</v>
      </c>
      <c r="R581" s="981"/>
      <c r="S581" s="982"/>
      <c r="T581" s="607" t="s">
        <v>1208</v>
      </c>
      <c r="U581" s="609" t="s">
        <v>1209</v>
      </c>
      <c r="V581" s="608" t="s">
        <v>1210</v>
      </c>
      <c r="W581" s="610" t="s">
        <v>1211</v>
      </c>
      <c r="X581" s="607" t="s">
        <v>1210</v>
      </c>
      <c r="Y581" s="609" t="s">
        <v>1211</v>
      </c>
      <c r="Z581" s="607" t="s">
        <v>1210</v>
      </c>
      <c r="AA581" s="609" t="s">
        <v>1211</v>
      </c>
    </row>
    <row r="582" spans="1:28" hidden="1" x14ac:dyDescent="0.2">
      <c r="A582" s="984"/>
      <c r="B582" s="987"/>
      <c r="C582" s="616" t="str">
        <f>$C$7</f>
        <v>Mini</v>
      </c>
      <c r="D582" s="617" t="str">
        <f>$D$7</f>
        <v>Midi</v>
      </c>
      <c r="E582" s="617" t="str">
        <f>$E$7</f>
        <v>Básico</v>
      </c>
      <c r="F582" s="616" t="str">
        <f>$C$7</f>
        <v>Mini</v>
      </c>
      <c r="G582" s="617" t="str">
        <f>$D$7</f>
        <v>Midi</v>
      </c>
      <c r="H582" s="617" t="str">
        <f>$E$7</f>
        <v>Básico</v>
      </c>
      <c r="I582" s="616" t="str">
        <f>$C$7</f>
        <v>Mini</v>
      </c>
      <c r="J582" s="617" t="str">
        <f>$D$7</f>
        <v>Midi</v>
      </c>
      <c r="K582" s="617" t="str">
        <f>$E$7</f>
        <v>Básico</v>
      </c>
      <c r="L582" s="616" t="str">
        <f>$C$7</f>
        <v>Mini</v>
      </c>
      <c r="M582" s="617" t="str">
        <f>$D$7</f>
        <v>Midi</v>
      </c>
      <c r="N582" s="617" t="str">
        <f>$E$7</f>
        <v>Básico</v>
      </c>
      <c r="O582" s="667" t="s">
        <v>1203</v>
      </c>
      <c r="P582" s="668" t="s">
        <v>1204</v>
      </c>
      <c r="Q582" s="620" t="str">
        <f>C582</f>
        <v>Mini</v>
      </c>
      <c r="R582" s="621" t="str">
        <f>D582</f>
        <v>Midi</v>
      </c>
      <c r="S582" s="622" t="str">
        <f>E582</f>
        <v>Básico</v>
      </c>
      <c r="T582" s="623" t="str">
        <f>C582</f>
        <v>Mini</v>
      </c>
      <c r="U582" s="624" t="str">
        <f>C582</f>
        <v>Mini</v>
      </c>
      <c r="V582" s="625" t="str">
        <f>D582</f>
        <v>Midi</v>
      </c>
      <c r="W582" s="626" t="str">
        <f>D582</f>
        <v>Midi</v>
      </c>
      <c r="X582" s="623" t="str">
        <f>E582</f>
        <v>Básico</v>
      </c>
      <c r="Y582" s="624" t="str">
        <f>E582</f>
        <v>Básico</v>
      </c>
      <c r="Z582" s="627" t="s">
        <v>1218</v>
      </c>
      <c r="AA582" s="628" t="s">
        <v>1218</v>
      </c>
    </row>
    <row r="583" spans="1:28" hidden="1" x14ac:dyDescent="0.2">
      <c r="A583" s="984"/>
      <c r="B583" s="633">
        <v>0</v>
      </c>
      <c r="C583" s="634">
        <v>0</v>
      </c>
      <c r="F583" s="679"/>
      <c r="G583" s="680"/>
      <c r="H583" s="680"/>
      <c r="I583" s="679"/>
      <c r="J583" s="680"/>
      <c r="K583" s="680"/>
      <c r="L583" s="634">
        <f>IF(A581&lt;=$F$3,C583+F583-I583,0)</f>
        <v>0</v>
      </c>
      <c r="M583" s="598">
        <f>IF(A581&lt;=$F$3,D583+G583-J583,0)</f>
        <v>0</v>
      </c>
      <c r="N583" s="598">
        <f>IF(A581&lt;=$F$3,E583+H583-K583,0)</f>
        <v>0</v>
      </c>
      <c r="O583" s="635">
        <f>IF(A581&lt;=$F$3,F583*Q583+G583*R583+H583*S583,0)</f>
        <v>0</v>
      </c>
      <c r="P583" s="636">
        <f>IF(A581&lt;=$F$3,I583*Q583+J583*R583+K583*S583,0)</f>
        <v>0</v>
      </c>
      <c r="Q583" s="637">
        <f t="shared" ref="Q583:S598" si="203">Q558</f>
        <v>525500</v>
      </c>
      <c r="R583" s="638">
        <f t="shared" si="203"/>
        <v>703800</v>
      </c>
      <c r="S583" s="639">
        <f t="shared" si="203"/>
        <v>743200</v>
      </c>
      <c r="T583" s="637">
        <f>L583*$AH$6*AD$12</f>
        <v>0</v>
      </c>
      <c r="U583" s="640" t="e">
        <f>$AH$6*(1-AE$11)*((1+HLOOKUP($A$481,FC_Premissas!$D$5:$W$16,14,FALSE)^0.0833-1))*L583*12</f>
        <v>#REF!</v>
      </c>
      <c r="V583" s="638">
        <f>M583*$AP$6*AL$12</f>
        <v>0</v>
      </c>
      <c r="W583" s="669" t="e">
        <f>$AP$6*(1-AM$11)*((1+HLOOKUP($A$481,FC_Premissas!$D$5:$W$16,14,FALSE)^0.0833-1))*M583*12</f>
        <v>#REF!</v>
      </c>
      <c r="X583" s="637">
        <f>N583*$AX$6*AT$12</f>
        <v>0</v>
      </c>
      <c r="Y583" s="640" t="e">
        <f>$AX$6*(1-AU$11)*((1+HLOOKUP($A$481,FC_Premissas!$D$5:$W$16,14,FALSE)^0.0833-1))*N583*12</f>
        <v>#REF!</v>
      </c>
      <c r="Z583" s="638">
        <f t="shared" ref="Z583:AA603" si="204">T583+V583+X583</f>
        <v>0</v>
      </c>
      <c r="AA583" s="669" t="e">
        <f t="shared" si="204"/>
        <v>#REF!</v>
      </c>
      <c r="AB583" s="641"/>
    </row>
    <row r="584" spans="1:28" hidden="1" x14ac:dyDescent="0.2">
      <c r="A584" s="984"/>
      <c r="B584" s="633">
        <v>1</v>
      </c>
      <c r="C584" s="634">
        <f>IF(A581&lt;=$F$3,L558,0)</f>
        <v>0</v>
      </c>
      <c r="D584" s="598">
        <f>IF(A581&lt;=$F$3,M558,0)</f>
        <v>0</v>
      </c>
      <c r="E584" s="598">
        <f>IF(A581&lt;=$F$3,N558,0)</f>
        <v>0</v>
      </c>
      <c r="F584" s="679"/>
      <c r="G584" s="680"/>
      <c r="H584" s="680"/>
      <c r="I584" s="681"/>
      <c r="J584" s="680"/>
      <c r="K584" s="680"/>
      <c r="L584" s="634">
        <f>IF(A581&lt;=$F$3,C584+F584-I584,0)</f>
        <v>0</v>
      </c>
      <c r="M584" s="598">
        <f>IF(A581&lt;=$F$3,D584+G584-J584,0)</f>
        <v>0</v>
      </c>
      <c r="N584" s="598">
        <f>IF(A581&lt;=$F$3,E584+H584-K584,0)</f>
        <v>0</v>
      </c>
      <c r="O584" s="635">
        <f>IF(A581&lt;=$F$3,F584*Q584+G584*R584+H584*S584,0)</f>
        <v>0</v>
      </c>
      <c r="P584" s="636">
        <f>IF(A581&lt;=$F$3,I584*Q584+J584*R584+K584*S584,0)</f>
        <v>0</v>
      </c>
      <c r="Q584" s="637">
        <f t="shared" si="203"/>
        <v>439509.09090909094</v>
      </c>
      <c r="R584" s="638">
        <f t="shared" si="203"/>
        <v>590567.30181818188</v>
      </c>
      <c r="S584" s="639">
        <f t="shared" si="203"/>
        <v>623520.02909090917</v>
      </c>
      <c r="T584" s="637">
        <f>L584*$AH$6*AD$13</f>
        <v>0</v>
      </c>
      <c r="U584" s="640" t="e">
        <f>$AH$6*(1-AE$12)*((1+HLOOKUP($A$481,FC_Premissas!$D$5:$W$16,14,FALSE)^0.0833-1))*L584*12</f>
        <v>#REF!</v>
      </c>
      <c r="V584" s="638">
        <f>M584*$AP$6*AL$13</f>
        <v>0</v>
      </c>
      <c r="W584" s="669" t="e">
        <f>$AP$6*(1-AM$12)*((1+HLOOKUP($A$481,FC_Premissas!$D$5:$W$16,14,FALSE))^0.0833-1)*M584*12</f>
        <v>#REF!</v>
      </c>
      <c r="X584" s="637">
        <f>N584*$AX$6*AT$13</f>
        <v>0</v>
      </c>
      <c r="Y584" s="640" t="e">
        <f>$AX$6*(1-AU$12)*((1+HLOOKUP($A$481,FC_Premissas!$D$5:$W$16,14,FALSE))^0.0833-1)*N584*12</f>
        <v>#REF!</v>
      </c>
      <c r="Z584" s="638">
        <f t="shared" si="204"/>
        <v>0</v>
      </c>
      <c r="AA584" s="669" t="e">
        <f t="shared" si="204"/>
        <v>#REF!</v>
      </c>
      <c r="AB584" s="641"/>
    </row>
    <row r="585" spans="1:28" hidden="1" x14ac:dyDescent="0.2">
      <c r="A585" s="984"/>
      <c r="B585" s="633">
        <v>2</v>
      </c>
      <c r="C585" s="634">
        <f>IF(A581&lt;=$F$3,L559,0)</f>
        <v>0</v>
      </c>
      <c r="D585" s="598">
        <f>IF(A581&lt;=$F$3,M559,0)</f>
        <v>0</v>
      </c>
      <c r="E585" s="598">
        <f>IF(A581&lt;=$F$3,N559,0)</f>
        <v>0</v>
      </c>
      <c r="F585" s="679"/>
      <c r="G585" s="680"/>
      <c r="H585" s="680"/>
      <c r="I585" s="679"/>
      <c r="J585" s="680"/>
      <c r="K585" s="680"/>
      <c r="L585" s="634">
        <f>IF(A581&lt;=$F$3,C585+F585-I585,0)</f>
        <v>0</v>
      </c>
      <c r="M585" s="598">
        <f>IF(A581&lt;=$F$3,D585+G585-J585,0)</f>
        <v>0</v>
      </c>
      <c r="N585" s="598">
        <f>IF(A581&lt;=$F$3,E585+H585-K585,0)</f>
        <v>0</v>
      </c>
      <c r="O585" s="635">
        <f>IF(A581&lt;=$F$3,F585*Q585+G585*R585+H585*S585,0)</f>
        <v>0</v>
      </c>
      <c r="P585" s="636">
        <f>IF(A581&lt;=$F$3,I585*Q585+J585*R585+K585*S585,0)</f>
        <v>0</v>
      </c>
      <c r="Q585" s="637">
        <f t="shared" si="203"/>
        <v>362117.27272727271</v>
      </c>
      <c r="R585" s="638">
        <f t="shared" si="203"/>
        <v>488657.87345454545</v>
      </c>
      <c r="S585" s="639">
        <f t="shared" si="203"/>
        <v>515808.05527272727</v>
      </c>
      <c r="T585" s="637">
        <f>L585*$AH$6*AD$14</f>
        <v>0</v>
      </c>
      <c r="U585" s="640" t="e">
        <f>$AH$6*(1-AE$13)*((1+HLOOKUP($A$481,FC_Premissas!$D$5:$W$16,14,FALSE)^0.0833-1))*L585*12</f>
        <v>#REF!</v>
      </c>
      <c r="V585" s="638">
        <f>M585*$AP$6*AL$14</f>
        <v>0</v>
      </c>
      <c r="W585" s="669" t="e">
        <f>$AP$6*(1-AM$13)*((1+HLOOKUP($A$481,FC_Premissas!$D$5:$W$16,14,FALSE))^0.0833-1)*M585*12</f>
        <v>#REF!</v>
      </c>
      <c r="X585" s="637">
        <f>N585*$AX$6*AT$14</f>
        <v>0</v>
      </c>
      <c r="Y585" s="640" t="e">
        <f>$AX$6*(1-AU$13)*((1+HLOOKUP($A$481,FC_Premissas!$D$5:$W$16,14,FALSE))^0.0833-1)*N585*12</f>
        <v>#REF!</v>
      </c>
      <c r="Z585" s="638">
        <f t="shared" si="204"/>
        <v>0</v>
      </c>
      <c r="AA585" s="669" t="e">
        <f t="shared" si="204"/>
        <v>#REF!</v>
      </c>
      <c r="AB585" s="641"/>
    </row>
    <row r="586" spans="1:28" hidden="1" x14ac:dyDescent="0.2">
      <c r="A586" s="984"/>
      <c r="B586" s="633">
        <v>3</v>
      </c>
      <c r="C586" s="634">
        <f>IF(A581&lt;=$F$3,L560,0)</f>
        <v>0</v>
      </c>
      <c r="D586" s="598">
        <f>IF(A581&lt;=$F$3,M560,0)</f>
        <v>0</v>
      </c>
      <c r="E586" s="598">
        <f>IF(A581&lt;=$F$3,N560,0)</f>
        <v>0</v>
      </c>
      <c r="F586" s="679"/>
      <c r="G586" s="680"/>
      <c r="H586" s="680"/>
      <c r="I586" s="679"/>
      <c r="J586" s="680"/>
      <c r="K586" s="680"/>
      <c r="L586" s="634">
        <f>IF(A581&lt;=$F$3,C586+F586-I586,0)</f>
        <v>0</v>
      </c>
      <c r="M586" s="598">
        <f>IF(A581&lt;=$F$3,D586+G586-J586,0)</f>
        <v>0</v>
      </c>
      <c r="N586" s="598">
        <f>IF(A581&lt;=$F$3,E586+H586-K586,0)</f>
        <v>0</v>
      </c>
      <c r="O586" s="635">
        <f>IF(A581&lt;=$F$3,F586*Q586+G586*R586+H586*S586,0)</f>
        <v>0</v>
      </c>
      <c r="P586" s="636">
        <f>IF(A581&lt;=$F$3,I586*Q586+J586*R586+K586*S586,0)</f>
        <v>0</v>
      </c>
      <c r="Q586" s="637">
        <f t="shared" si="203"/>
        <v>293324.54545454541</v>
      </c>
      <c r="R586" s="638">
        <f t="shared" si="203"/>
        <v>398071.71490909089</v>
      </c>
      <c r="S586" s="639">
        <f t="shared" si="203"/>
        <v>420064.07854545448</v>
      </c>
      <c r="T586" s="637">
        <f>L586*$AH$6*AD$15</f>
        <v>0</v>
      </c>
      <c r="U586" s="640" t="e">
        <f>$AH$6*(1-AE$14)*((1+HLOOKUP($A$481,FC_Premissas!$D$5:$W$16,14,FALSE)^0.0833-1))*L586*12</f>
        <v>#REF!</v>
      </c>
      <c r="V586" s="638">
        <f>M586*$AP$6*AL$15</f>
        <v>0</v>
      </c>
      <c r="W586" s="669" t="e">
        <f>$AP$6*(1-AM$14)*((1+HLOOKUP($A$481,FC_Premissas!$D$5:$W$16,14,FALSE))^0.0833-1)*M586*12</f>
        <v>#REF!</v>
      </c>
      <c r="X586" s="637">
        <f>N586*$AX$6*AT$15</f>
        <v>0</v>
      </c>
      <c r="Y586" s="640" t="e">
        <f>$AX$6*(1-AU$14)*((1+HLOOKUP($A$481,FC_Premissas!$D$5:$W$16,14,FALSE))^0.0833-1)*N586*12</f>
        <v>#REF!</v>
      </c>
      <c r="Z586" s="638">
        <f t="shared" si="204"/>
        <v>0</v>
      </c>
      <c r="AA586" s="669" t="e">
        <f t="shared" si="204"/>
        <v>#REF!</v>
      </c>
      <c r="AB586" s="641"/>
    </row>
    <row r="587" spans="1:28" hidden="1" x14ac:dyDescent="0.2">
      <c r="A587" s="984"/>
      <c r="B587" s="633">
        <v>4</v>
      </c>
      <c r="C587" s="634">
        <f>IF(A581&lt;=$F$3,L561,0)</f>
        <v>0</v>
      </c>
      <c r="D587" s="598">
        <f>IF(A581&lt;=$F$3,M561,0)</f>
        <v>0</v>
      </c>
      <c r="E587" s="598">
        <f>IF(A581&lt;=$F$3,N561,0)</f>
        <v>0</v>
      </c>
      <c r="F587" s="679"/>
      <c r="G587" s="680"/>
      <c r="H587" s="680"/>
      <c r="I587" s="679"/>
      <c r="J587" s="680"/>
      <c r="K587" s="680"/>
      <c r="L587" s="634">
        <f>IF(A581&lt;=$F$3,C587+F587-I587,0)</f>
        <v>0</v>
      </c>
      <c r="M587" s="598">
        <f>IF(A581&lt;=$F$3,D587+G587-J587,0)</f>
        <v>0</v>
      </c>
      <c r="N587" s="598">
        <f>IF(A581&lt;=$F$3,E587+H587-K587,0)</f>
        <v>0</v>
      </c>
      <c r="O587" s="635">
        <f>IF(A581&lt;=$F$3,F587*Q587+G587*R587+H587*S587,0)</f>
        <v>0</v>
      </c>
      <c r="P587" s="636">
        <f>IF(A581&lt;=$F$3,I587*Q587+J587*R587+K587*S587,0)</f>
        <v>0</v>
      </c>
      <c r="Q587" s="637">
        <f t="shared" si="203"/>
        <v>233130.90909090909</v>
      </c>
      <c r="R587" s="638">
        <f t="shared" si="203"/>
        <v>318808.82618181815</v>
      </c>
      <c r="S587" s="639">
        <f t="shared" si="203"/>
        <v>336288.09890909091</v>
      </c>
      <c r="T587" s="637">
        <f>L587*$AH$6*AD$16</f>
        <v>0</v>
      </c>
      <c r="U587" s="640" t="e">
        <f>$AH$6*(1-AE$15)*((1+HLOOKUP($A$481,FC_Premissas!$D$5:$W$16,14,FALSE)^0.0833-1))*L587*12</f>
        <v>#REF!</v>
      </c>
      <c r="V587" s="638">
        <f>M587*$AP$6*AL$16</f>
        <v>0</v>
      </c>
      <c r="W587" s="669" t="e">
        <f>$AP$6*(1-AM$15)*((1+HLOOKUP($A$481,FC_Premissas!$D$5:$W$16,14,FALSE))^0.0833-1)*M587*12</f>
        <v>#REF!</v>
      </c>
      <c r="X587" s="637">
        <f>N587*$AX$6*AT$16</f>
        <v>0</v>
      </c>
      <c r="Y587" s="640" t="e">
        <f>$AX$6*(1-AU$15)*((1+HLOOKUP($A$481,FC_Premissas!$D$5:$W$16,14,FALSE))^0.0833-1)*N587*12</f>
        <v>#REF!</v>
      </c>
      <c r="Z587" s="638">
        <f t="shared" si="204"/>
        <v>0</v>
      </c>
      <c r="AA587" s="669" t="e">
        <f t="shared" si="204"/>
        <v>#REF!</v>
      </c>
      <c r="AB587" s="641"/>
    </row>
    <row r="588" spans="1:28" hidden="1" x14ac:dyDescent="0.2">
      <c r="A588" s="984"/>
      <c r="B588" s="633">
        <v>5</v>
      </c>
      <c r="C588" s="634">
        <f>IF(A581&lt;=$F$3,L562,0)</f>
        <v>0</v>
      </c>
      <c r="D588" s="598">
        <f>IF(A581&lt;=$F$3,M562,0)</f>
        <v>0</v>
      </c>
      <c r="E588" s="598">
        <f>IF(A581&lt;=$F$3,N562,0)</f>
        <v>0</v>
      </c>
      <c r="F588" s="679"/>
      <c r="G588" s="680"/>
      <c r="H588" s="680"/>
      <c r="I588" s="679"/>
      <c r="J588" s="680"/>
      <c r="K588" s="680"/>
      <c r="L588" s="634">
        <f>IF(A581&lt;=$F$3,C588+F588-I588,0)</f>
        <v>0</v>
      </c>
      <c r="M588" s="598">
        <f>IF(A581&lt;=$F$3,D588+G588-J588,0)</f>
        <v>0</v>
      </c>
      <c r="N588" s="598">
        <f>IF(A581&lt;=$F$3,E588+H588-K588,0)</f>
        <v>0</v>
      </c>
      <c r="O588" s="635">
        <f>IF(A581&lt;=$F$3,F588*Q588+G588*R588+H588*S588,0)</f>
        <v>0</v>
      </c>
      <c r="P588" s="636">
        <f>IF(A581&lt;=$F$3,I588*Q588+J588*R588+K588*S588,0)</f>
        <v>0</v>
      </c>
      <c r="Q588" s="637">
        <f t="shared" si="203"/>
        <v>181536.36363636365</v>
      </c>
      <c r="R588" s="638">
        <f t="shared" si="203"/>
        <v>250869.20727272728</v>
      </c>
      <c r="S588" s="639">
        <f t="shared" si="203"/>
        <v>264480.11636363639</v>
      </c>
      <c r="T588" s="637">
        <f>L588*$AH$6*AD$17</f>
        <v>0</v>
      </c>
      <c r="U588" s="640" t="e">
        <f>$AH$6*(1-AE$16)*((1+HLOOKUP($A$481,FC_Premissas!$D$5:$W$16,14,FALSE)^0.0833-1))*L588*12</f>
        <v>#REF!</v>
      </c>
      <c r="V588" s="638">
        <f>M588*$AP$6*AL$17</f>
        <v>0</v>
      </c>
      <c r="W588" s="669" t="e">
        <f>$AP$6*(1-AM$16)*((1+HLOOKUP($A$481,FC_Premissas!$D$5:$W$16,14,FALSE))^0.0833-1)*M588*12</f>
        <v>#REF!</v>
      </c>
      <c r="X588" s="637">
        <f>N588*$AX$6*AT$17</f>
        <v>0</v>
      </c>
      <c r="Y588" s="640" t="e">
        <f>$AX$6*(1-AU$16)*((1+HLOOKUP($A$481,FC_Premissas!$D$5:$W$16,14,FALSE))^0.0833-1)*N588*12</f>
        <v>#REF!</v>
      </c>
      <c r="Z588" s="638">
        <f t="shared" si="204"/>
        <v>0</v>
      </c>
      <c r="AA588" s="669" t="e">
        <f t="shared" si="204"/>
        <v>#REF!</v>
      </c>
      <c r="AB588" s="641"/>
    </row>
    <row r="589" spans="1:28" hidden="1" x14ac:dyDescent="0.2">
      <c r="A589" s="984"/>
      <c r="B589" s="633">
        <v>6</v>
      </c>
      <c r="C589" s="634">
        <f>IF(A581&lt;=$F$3,L563,0)</f>
        <v>0</v>
      </c>
      <c r="D589" s="598">
        <f>IF(A581&lt;=$F$3,M563,0)</f>
        <v>0</v>
      </c>
      <c r="E589" s="598">
        <f>IF(A581&lt;=$F$3,N563,0)</f>
        <v>0</v>
      </c>
      <c r="F589" s="679"/>
      <c r="G589" s="680"/>
      <c r="H589" s="680"/>
      <c r="I589" s="679"/>
      <c r="J589" s="680"/>
      <c r="K589" s="680"/>
      <c r="L589" s="634">
        <f>IF(A581&lt;=$F$3,C589+F589-I589,0)</f>
        <v>0</v>
      </c>
      <c r="M589" s="598">
        <f>IF(A581&lt;=$F$3,D589+G589-J589,0)</f>
        <v>0</v>
      </c>
      <c r="N589" s="598">
        <f>IF(A581&lt;=$F$3,E589+H589-K589,0)</f>
        <v>0</v>
      </c>
      <c r="O589" s="635">
        <f>IF(A581&lt;=$F$3,F589*Q589+G589*R589+H589*S589,0)</f>
        <v>0</v>
      </c>
      <c r="P589" s="636">
        <f>IF(A581&lt;=$F$3,I589*Q589+J589*R589+K589*S589,0)</f>
        <v>0</v>
      </c>
      <c r="Q589" s="637">
        <f t="shared" si="203"/>
        <v>138540.90909090912</v>
      </c>
      <c r="R589" s="638">
        <f t="shared" si="203"/>
        <v>194252.85818181818</v>
      </c>
      <c r="S589" s="639">
        <f t="shared" si="203"/>
        <v>204640.13090909092</v>
      </c>
      <c r="T589" s="637">
        <f>L589*$AH$6*AD$18</f>
        <v>0</v>
      </c>
      <c r="U589" s="640" t="e">
        <f>$AH$6*(1-AE$17)*((1+HLOOKUP($A$481,FC_Premissas!$D$5:$W$16,14,FALSE)^0.0833-1))*L589*12</f>
        <v>#REF!</v>
      </c>
      <c r="V589" s="638">
        <f>M589*$AP$6*AL$18</f>
        <v>0</v>
      </c>
      <c r="W589" s="669" t="e">
        <f>$AP$6*(1-AM$17)*((1+HLOOKUP($A$481,FC_Premissas!$D$5:$W$16,14,FALSE))^0.0833-1)*M589*12</f>
        <v>#REF!</v>
      </c>
      <c r="X589" s="637">
        <f>N589*$AX$6*AT$18</f>
        <v>0</v>
      </c>
      <c r="Y589" s="640" t="e">
        <f>$AX$6*(1-AU$17)*((1+HLOOKUP($A$481,FC_Premissas!$D$5:$W$16,14,FALSE))^0.0833-1)*N589*12</f>
        <v>#REF!</v>
      </c>
      <c r="Z589" s="638">
        <f t="shared" si="204"/>
        <v>0</v>
      </c>
      <c r="AA589" s="669" t="e">
        <f t="shared" si="204"/>
        <v>#REF!</v>
      </c>
      <c r="AB589" s="641"/>
    </row>
    <row r="590" spans="1:28" hidden="1" x14ac:dyDescent="0.2">
      <c r="A590" s="984"/>
      <c r="B590" s="633">
        <v>7</v>
      </c>
      <c r="C590" s="634">
        <f>IF(A581&lt;=$F$3,L564,0)</f>
        <v>0</v>
      </c>
      <c r="D590" s="598">
        <f>IF(A581&lt;=$F$3,M564,0)</f>
        <v>0</v>
      </c>
      <c r="E590" s="598">
        <f>IF(A581&lt;=$F$3,N564,0)</f>
        <v>0</v>
      </c>
      <c r="F590" s="679"/>
      <c r="G590" s="680"/>
      <c r="H590" s="680"/>
      <c r="I590" s="679"/>
      <c r="J590" s="680"/>
      <c r="K590" s="680"/>
      <c r="L590" s="634">
        <f>IF(A581&lt;=$F$3,C590+F590-I590,0)</f>
        <v>0</v>
      </c>
      <c r="M590" s="598">
        <f>IF(A581&lt;=$F$3,D590+G590-J590,0)</f>
        <v>0</v>
      </c>
      <c r="N590" s="598">
        <f>IF(A581&lt;=$F$3,E590+H590-K590,0)</f>
        <v>0</v>
      </c>
      <c r="O590" s="635">
        <f>IF(A581&lt;=$F$3,F590*Q590+G590*R590+H590*S590,0)</f>
        <v>0</v>
      </c>
      <c r="P590" s="636">
        <f>IF(A581&lt;=$F$3,I590*Q590+J590*R590+K590*S590,0)</f>
        <v>0</v>
      </c>
      <c r="Q590" s="637">
        <f t="shared" si="203"/>
        <v>104144.54545454548</v>
      </c>
      <c r="R590" s="638">
        <f t="shared" si="203"/>
        <v>148959.77890909094</v>
      </c>
      <c r="S590" s="639">
        <f t="shared" si="203"/>
        <v>156768.14254545458</v>
      </c>
      <c r="T590" s="637">
        <f>L590*$AH$6*AD$19</f>
        <v>0</v>
      </c>
      <c r="U590" s="640" t="e">
        <f>$AH$6*(1-AE$18)*((1+HLOOKUP($A$481,FC_Premissas!$D$5:$W$16,14,FALSE)^0.0833-1))*L590*12</f>
        <v>#REF!</v>
      </c>
      <c r="V590" s="638">
        <f>M590*$AP$6*AL$19</f>
        <v>0</v>
      </c>
      <c r="W590" s="669" t="e">
        <f>$AP$6*(1-AM$18)*((1+HLOOKUP($A$481,FC_Premissas!$D$5:$W$16,14,FALSE))^0.0833-1)*M590*12</f>
        <v>#REF!</v>
      </c>
      <c r="X590" s="637">
        <f>N590*$AX$6*AT$19</f>
        <v>0</v>
      </c>
      <c r="Y590" s="640" t="e">
        <f>$AX$6*(1-AU$18)*((1+HLOOKUP($A$481,FC_Premissas!$D$5:$W$16,14,FALSE))^0.0833-1)*N590*12</f>
        <v>#REF!</v>
      </c>
      <c r="Z590" s="638">
        <f t="shared" si="204"/>
        <v>0</v>
      </c>
      <c r="AA590" s="669" t="e">
        <f t="shared" si="204"/>
        <v>#REF!</v>
      </c>
      <c r="AB590" s="641"/>
    </row>
    <row r="591" spans="1:28" hidden="1" x14ac:dyDescent="0.2">
      <c r="A591" s="984"/>
      <c r="B591" s="633">
        <v>8</v>
      </c>
      <c r="C591" s="634">
        <f>IF(A581&lt;=$F$3,L565,0)</f>
        <v>0</v>
      </c>
      <c r="D591" s="598">
        <f>IF(A581&lt;=$F$3,M565,0)</f>
        <v>0</v>
      </c>
      <c r="E591" s="598">
        <f>IF(A581&lt;=$F$3,N565,0)</f>
        <v>0</v>
      </c>
      <c r="F591" s="679"/>
      <c r="G591" s="680"/>
      <c r="H591" s="680"/>
      <c r="I591" s="679"/>
      <c r="J591" s="680"/>
      <c r="K591" s="680"/>
      <c r="L591" s="634">
        <f>IF(A581&lt;=$F$3,C591+F591-I591,0)</f>
        <v>0</v>
      </c>
      <c r="M591" s="598">
        <f>IF(A581&lt;=$F$3,D591+G591-J591,0)</f>
        <v>0</v>
      </c>
      <c r="N591" s="598">
        <f>IF(A581&lt;=$F$3,E591+H591-K591,0)</f>
        <v>0</v>
      </c>
      <c r="O591" s="635">
        <f>IF(A581&lt;=$F$3,F591*Q591+G591*R591+H591*S591,0)</f>
        <v>0</v>
      </c>
      <c r="P591" s="636">
        <f>IF(A581&lt;=$F$3,I591*Q591+J591*R591+K591*S591,0)</f>
        <v>0</v>
      </c>
      <c r="Q591" s="637">
        <f t="shared" si="203"/>
        <v>78347.272727272764</v>
      </c>
      <c r="R591" s="638">
        <f t="shared" si="203"/>
        <v>114989.9694545455</v>
      </c>
      <c r="S591" s="639">
        <f t="shared" si="203"/>
        <v>120864.15127272732</v>
      </c>
      <c r="T591" s="637">
        <f>L591*$AH$6*AD$20</f>
        <v>0</v>
      </c>
      <c r="U591" s="640" t="e">
        <f>$AH$6*(1-AE$19)*((1+HLOOKUP($A$481,FC_Premissas!$D$5:$W$16,14,FALSE)^0.0833-1))*L591*12</f>
        <v>#REF!</v>
      </c>
      <c r="V591" s="638">
        <f>M591*$AP$6*AL$20</f>
        <v>0</v>
      </c>
      <c r="W591" s="669" t="e">
        <f>$AP$6*(1-AM$19)*((1+HLOOKUP($A$481,FC_Premissas!$D$5:$W$16,14,FALSE))^0.0833-1)*M591*12</f>
        <v>#REF!</v>
      </c>
      <c r="X591" s="637">
        <f>N591*$AX$6*AT$20</f>
        <v>0</v>
      </c>
      <c r="Y591" s="640" t="e">
        <f>$AX$6*(1-AU$19)*((1+HLOOKUP($A$481,FC_Premissas!$D$5:$W$16,14,FALSE))^0.0833-1)*N591*12</f>
        <v>#REF!</v>
      </c>
      <c r="Z591" s="638">
        <f t="shared" si="204"/>
        <v>0</v>
      </c>
      <c r="AA591" s="669" t="e">
        <f t="shared" si="204"/>
        <v>#REF!</v>
      </c>
      <c r="AB591" s="641"/>
    </row>
    <row r="592" spans="1:28" hidden="1" x14ac:dyDescent="0.2">
      <c r="A592" s="984"/>
      <c r="B592" s="633">
        <v>9</v>
      </c>
      <c r="C592" s="634">
        <f>IF(A581&lt;=$F$3,L566,0)</f>
        <v>0</v>
      </c>
      <c r="D592" s="598">
        <f>IF(A581&lt;=$F$3,M566,0)</f>
        <v>0</v>
      </c>
      <c r="E592" s="598">
        <f>IF(A581&lt;=$F$3,N566,0)</f>
        <v>0</v>
      </c>
      <c r="F592" s="679"/>
      <c r="G592" s="680"/>
      <c r="H592" s="680"/>
      <c r="I592" s="679"/>
      <c r="J592" s="680"/>
      <c r="K592" s="680"/>
      <c r="L592" s="634">
        <f>IF(A581&lt;=$F$3,C592+F592-I592,0)</f>
        <v>0</v>
      </c>
      <c r="M592" s="598">
        <f>IF(A581&lt;=$F$3,D592+G592-J592,0)</f>
        <v>0</v>
      </c>
      <c r="N592" s="598">
        <f>IF(A581&lt;=$F$3,E592+H592-K592,0)</f>
        <v>0</v>
      </c>
      <c r="O592" s="635">
        <f>IF(A581&lt;=$F$3,F592*Q592+G592*R592+H592*S592,0)</f>
        <v>0</v>
      </c>
      <c r="P592" s="636">
        <f>IF(A581&lt;=$F$3,I592*Q592+J592*R592+K592*S592,0)</f>
        <v>0</v>
      </c>
      <c r="Q592" s="637">
        <f t="shared" si="203"/>
        <v>61149.090909090955</v>
      </c>
      <c r="R592" s="638">
        <f t="shared" si="203"/>
        <v>92343.429818181874</v>
      </c>
      <c r="S592" s="639">
        <f t="shared" si="203"/>
        <v>96928.157090909139</v>
      </c>
      <c r="T592" s="637">
        <f>L592*$AH$6*AD$21</f>
        <v>0</v>
      </c>
      <c r="U592" s="640" t="e">
        <f>$AH$6*(1-AE$20)*((1+HLOOKUP($A$481,FC_Premissas!$D$5:$W$16,14,FALSE)^0.0833-1))*L592*12</f>
        <v>#REF!</v>
      </c>
      <c r="V592" s="638">
        <f>M592*$AP$6*AL$21</f>
        <v>0</v>
      </c>
      <c r="W592" s="669" t="e">
        <f>$AP$6*(1-AM$20)*((1+HLOOKUP($A$481,FC_Premissas!$D$5:$W$16,14,FALSE))^0.0833-1)*M592*12</f>
        <v>#REF!</v>
      </c>
      <c r="X592" s="637">
        <f>N592*$AX$6*AT$21</f>
        <v>0</v>
      </c>
      <c r="Y592" s="640" t="e">
        <f>$AX$6*(1-AU$20)*((1+HLOOKUP($A$481,FC_Premissas!$D$5:$W$16,14,FALSE))^0.0833-1)*N592*12</f>
        <v>#REF!</v>
      </c>
      <c r="Z592" s="638">
        <f t="shared" si="204"/>
        <v>0</v>
      </c>
      <c r="AA592" s="669" t="e">
        <f t="shared" si="204"/>
        <v>#REF!</v>
      </c>
      <c r="AB592" s="641"/>
    </row>
    <row r="593" spans="1:28" hidden="1" x14ac:dyDescent="0.2">
      <c r="A593" s="984"/>
      <c r="B593" s="633">
        <v>10</v>
      </c>
      <c r="C593" s="634">
        <f>IF(A581&lt;=$F$3,L567,0)</f>
        <v>0</v>
      </c>
      <c r="D593" s="598">
        <f>IF(A581&lt;=$F$3,M567,0)</f>
        <v>0</v>
      </c>
      <c r="E593" s="598">
        <f>IF(A581&lt;=$F$3,N567,0)</f>
        <v>0</v>
      </c>
      <c r="F593" s="679"/>
      <c r="G593" s="680"/>
      <c r="H593" s="680"/>
      <c r="I593" s="679"/>
      <c r="J593" s="680"/>
      <c r="K593" s="680"/>
      <c r="L593" s="634">
        <f>IF(A581&lt;=$F$3,C593+F593-I593,0)</f>
        <v>0</v>
      </c>
      <c r="M593" s="598">
        <f>IF(A581&lt;=$F$3,D593+G593-J593,0)</f>
        <v>0</v>
      </c>
      <c r="N593" s="598">
        <f>IF(A581&lt;=$F$3,E593+H593-K593,0)</f>
        <v>0</v>
      </c>
      <c r="O593" s="635">
        <f>IF(A581&lt;=$F$3,F593*Q593+G593*R593+H593*S593,0)</f>
        <v>0</v>
      </c>
      <c r="P593" s="636">
        <f>IF(A581&lt;=$F$3,I593*Q593+J593*R593+K593*S593,0)</f>
        <v>0</v>
      </c>
      <c r="Q593" s="637">
        <f t="shared" si="203"/>
        <v>52550.000000000044</v>
      </c>
      <c r="R593" s="638">
        <f t="shared" si="203"/>
        <v>81020.160000000062</v>
      </c>
      <c r="S593" s="639">
        <f t="shared" si="203"/>
        <v>84960.160000000062</v>
      </c>
      <c r="T593" s="637">
        <f>L593*$AH$6*AD$22</f>
        <v>0</v>
      </c>
      <c r="U593" s="640" t="e">
        <f>$AH$6*(1-AE$21)*((1+HLOOKUP($A$481,FC_Premissas!$D$5:$W$16,14,FALSE)^0.0833-1))*L593*12</f>
        <v>#REF!</v>
      </c>
      <c r="V593" s="638">
        <f>M593*$AP$6*AL$22</f>
        <v>0</v>
      </c>
      <c r="W593" s="669" t="e">
        <f>$AP$6*(1-AM$21)*((1+HLOOKUP($A$481,FC_Premissas!$D$5:$W$16,14,FALSE))^0.0833-1)*M593*12</f>
        <v>#REF!</v>
      </c>
      <c r="X593" s="637">
        <f>N593*$AX$6*AT$22</f>
        <v>0</v>
      </c>
      <c r="Y593" s="640" t="e">
        <f>$AX$6*(1-AU$21)*((1+HLOOKUP($A$481,FC_Premissas!$D$5:$W$16,14,FALSE))^0.0833-1)*N593*12</f>
        <v>#REF!</v>
      </c>
      <c r="Z593" s="638">
        <f t="shared" si="204"/>
        <v>0</v>
      </c>
      <c r="AA593" s="669" t="e">
        <f t="shared" si="204"/>
        <v>#REF!</v>
      </c>
      <c r="AB593" s="641"/>
    </row>
    <row r="594" spans="1:28" hidden="1" x14ac:dyDescent="0.2">
      <c r="A594" s="984"/>
      <c r="B594" s="633">
        <v>11</v>
      </c>
      <c r="C594" s="634">
        <f>IF(A581&lt;=$F$3,L568,0)</f>
        <v>0</v>
      </c>
      <c r="D594" s="598">
        <f>IF(A581&lt;=$F$3,M568,0)</f>
        <v>0</v>
      </c>
      <c r="E594" s="598">
        <f>IF(A581&lt;=$F$3,N568,0)</f>
        <v>0</v>
      </c>
      <c r="F594" s="679"/>
      <c r="G594" s="680"/>
      <c r="H594" s="680"/>
      <c r="I594" s="679"/>
      <c r="J594" s="680"/>
      <c r="K594" s="680"/>
      <c r="L594" s="634">
        <f>IF(A581&lt;=$F$3,C594+F594-I594,0)</f>
        <v>0</v>
      </c>
      <c r="M594" s="598">
        <f>IF(A581&lt;=$F$3,D594+G594-J594,0)</f>
        <v>0</v>
      </c>
      <c r="N594" s="598">
        <f>IF(A581&lt;=$F$3,E594+H594-K594,0)</f>
        <v>0</v>
      </c>
      <c r="O594" s="635">
        <f>IF(A581&lt;=$F$3,F594*Q594+G594*R594+H594*S594,0)</f>
        <v>0</v>
      </c>
      <c r="P594" s="636">
        <f>IF(A581&lt;=$F$3,I594*Q594+J594*R594+K594*S594,0)</f>
        <v>0</v>
      </c>
      <c r="Q594" s="637">
        <f t="shared" si="203"/>
        <v>52550.000000000044</v>
      </c>
      <c r="R594" s="638">
        <f t="shared" si="203"/>
        <v>81020.160000000062</v>
      </c>
      <c r="S594" s="639">
        <f t="shared" si="203"/>
        <v>84960.160000000062</v>
      </c>
      <c r="T594" s="637">
        <f>L594*$AH$6*AD$23</f>
        <v>0</v>
      </c>
      <c r="U594" s="640" t="e">
        <f>$AH$6*(1-AE$22)*((1+HLOOKUP($A$481,FC_Premissas!$D$5:$W$16,14,FALSE)^0.0833-1))*L594*12</f>
        <v>#REF!</v>
      </c>
      <c r="V594" s="638">
        <f>M594*$AP$6*AL$23</f>
        <v>0</v>
      </c>
      <c r="W594" s="669" t="e">
        <f>$AP$6*(1-AM$22)*((1+HLOOKUP($A$481,FC_Premissas!$D$5:$W$16,14,FALSE))^0.0833-1)*M594*12</f>
        <v>#REF!</v>
      </c>
      <c r="X594" s="637">
        <f>N594*$AX$6*AT$23</f>
        <v>0</v>
      </c>
      <c r="Y594" s="640" t="e">
        <f>$AX$6*(1-AU$22)*((1+HLOOKUP($A$481,FC_Premissas!$D$5:$W$16,14,FALSE))^0.0833-1)*N594*12</f>
        <v>#REF!</v>
      </c>
      <c r="Z594" s="638">
        <f t="shared" si="204"/>
        <v>0</v>
      </c>
      <c r="AA594" s="669" t="e">
        <f t="shared" si="204"/>
        <v>#REF!</v>
      </c>
      <c r="AB594" s="641"/>
    </row>
    <row r="595" spans="1:28" hidden="1" x14ac:dyDescent="0.2">
      <c r="A595" s="984"/>
      <c r="B595" s="633">
        <v>12</v>
      </c>
      <c r="C595" s="634">
        <f>IF(A581&lt;=$F$3,L569,0)</f>
        <v>0</v>
      </c>
      <c r="D595" s="598">
        <f>IF(A581&lt;=$F$3,M569,0)</f>
        <v>0</v>
      </c>
      <c r="E595" s="598">
        <f>IF(A581&lt;=$F$3,N569,0)</f>
        <v>0</v>
      </c>
      <c r="F595" s="679"/>
      <c r="G595" s="680"/>
      <c r="H595" s="680"/>
      <c r="I595" s="679"/>
      <c r="J595" s="680"/>
      <c r="K595" s="680"/>
      <c r="L595" s="634">
        <f>IF(A581&lt;=$F$3,C595+F595-I595,0)</f>
        <v>0</v>
      </c>
      <c r="M595" s="598">
        <f>IF(A581&lt;=$F$3,D595+G595-J595,0)</f>
        <v>0</v>
      </c>
      <c r="N595" s="598">
        <f>IF(A581&lt;=$F$3,E595+H595-K595,0)</f>
        <v>0</v>
      </c>
      <c r="O595" s="635">
        <f>IF(A581&lt;=$F$3,F595*Q595+G595*R595+H595*S595,0)</f>
        <v>0</v>
      </c>
      <c r="P595" s="636">
        <f>IF(A581&lt;=$F$3,I595*Q595+J595*R595+K595*S595,0)</f>
        <v>0</v>
      </c>
      <c r="Q595" s="637">
        <f t="shared" si="203"/>
        <v>52550.000000000044</v>
      </c>
      <c r="R595" s="638">
        <f t="shared" si="203"/>
        <v>81020.160000000062</v>
      </c>
      <c r="S595" s="639">
        <f t="shared" si="203"/>
        <v>84960.160000000062</v>
      </c>
      <c r="T595" s="637">
        <f>L595*$AH$6*AD$24</f>
        <v>0</v>
      </c>
      <c r="U595" s="640" t="e">
        <f>$AH$6*(1-AE$23)*((1+HLOOKUP($A$481,FC_Premissas!$D$5:$W$16,14,FALSE)^0.0833-1))*L595*12</f>
        <v>#REF!</v>
      </c>
      <c r="V595" s="638">
        <f>M595*$AP$6*AL$24</f>
        <v>0</v>
      </c>
      <c r="W595" s="669" t="e">
        <f>$AP$6*(1-AM$23)*((1+HLOOKUP($A$481,FC_Premissas!$D$5:$W$16,14,FALSE))^0.0833-1)*M595*12</f>
        <v>#REF!</v>
      </c>
      <c r="X595" s="637">
        <f>N595*$AX$6*AT$24</f>
        <v>0</v>
      </c>
      <c r="Y595" s="640" t="e">
        <f>$AX$6*(1-AU$23)*((1+HLOOKUP($A$481,FC_Premissas!$D$5:$W$16,14,FALSE))^0.0833-1)*N595*12</f>
        <v>#REF!</v>
      </c>
      <c r="Z595" s="638">
        <f t="shared" si="204"/>
        <v>0</v>
      </c>
      <c r="AA595" s="669" t="e">
        <f t="shared" si="204"/>
        <v>#REF!</v>
      </c>
      <c r="AB595" s="641"/>
    </row>
    <row r="596" spans="1:28" ht="11.25" hidden="1" customHeight="1" x14ac:dyDescent="0.2">
      <c r="A596" s="984"/>
      <c r="B596" s="633">
        <v>13</v>
      </c>
      <c r="C596" s="634">
        <f>IF(A581&lt;=$F$3,L570,0)</f>
        <v>0</v>
      </c>
      <c r="D596" s="598">
        <f>IF(A581&lt;=$F$3,M570,0)</f>
        <v>0</v>
      </c>
      <c r="E596" s="650">
        <f>IF(A581&lt;=$F$3,N570,0)</f>
        <v>0</v>
      </c>
      <c r="F596" s="634"/>
      <c r="G596" s="598"/>
      <c r="H596" s="598"/>
      <c r="I596" s="634"/>
      <c r="J596" s="598"/>
      <c r="K596" s="598"/>
      <c r="L596" s="634">
        <f>IF(A581&lt;=$F$3,C596+F596-I596,0)</f>
        <v>0</v>
      </c>
      <c r="M596" s="598">
        <f>IF(A581&lt;=$F$3,D596+G596-J596,0)</f>
        <v>0</v>
      </c>
      <c r="N596" s="598">
        <f>IF(A581&lt;=$F$3,E596+H596-K596,0)</f>
        <v>0</v>
      </c>
      <c r="O596" s="635">
        <f>IF(A581&lt;=$F$3,F596*Q596+G596*R596+H596*S596,0)</f>
        <v>0</v>
      </c>
      <c r="P596" s="636">
        <f>IF(A581&lt;=$F$3,I596*Q596+J596*R596+K596*S596,0)</f>
        <v>0</v>
      </c>
      <c r="Q596" s="637">
        <f t="shared" si="203"/>
        <v>52550.000000000044</v>
      </c>
      <c r="R596" s="638">
        <f t="shared" si="203"/>
        <v>81020.160000000062</v>
      </c>
      <c r="S596" s="639">
        <f t="shared" si="203"/>
        <v>84960.160000000062</v>
      </c>
      <c r="T596" s="637">
        <f>L596*$AH$6*AD$25</f>
        <v>0</v>
      </c>
      <c r="U596" s="640" t="e">
        <f>$AH$6*(1-AE$24)*((1+HLOOKUP($A$481,FC_Premissas!$D$5:$W$16,14,FALSE)^0.0833-1))*L596*12</f>
        <v>#REF!</v>
      </c>
      <c r="V596" s="638">
        <f>M596*$AP$6*AL$25</f>
        <v>0</v>
      </c>
      <c r="W596" s="669" t="e">
        <f>$AP$6*(1-AM$24)*((1+HLOOKUP($A$481,FC_Premissas!$D$5:$W$16,14,FALSE))^0.0833-1)*M596*12</f>
        <v>#REF!</v>
      </c>
      <c r="X596" s="637">
        <f>N596*$AX$6*AT$25</f>
        <v>0</v>
      </c>
      <c r="Y596" s="640" t="e">
        <f>$AX$6*(1-AU$24)*((1+HLOOKUP($A$481,FC_Premissas!$D$5:$W$16,14,FALSE))^0.0833-1)*N596*12</f>
        <v>#REF!</v>
      </c>
      <c r="Z596" s="638">
        <f t="shared" si="204"/>
        <v>0</v>
      </c>
      <c r="AA596" s="669" t="e">
        <f t="shared" si="204"/>
        <v>#REF!</v>
      </c>
      <c r="AB596" s="641"/>
    </row>
    <row r="597" spans="1:28" ht="11.25" hidden="1" customHeight="1" x14ac:dyDescent="0.2">
      <c r="A597" s="984"/>
      <c r="B597" s="633">
        <v>14</v>
      </c>
      <c r="C597" s="634">
        <f>IF(A581&lt;=$F$3,L571,0)</f>
        <v>0</v>
      </c>
      <c r="D597" s="598">
        <f>IF(A581&lt;=$F$3,M571,0)</f>
        <v>0</v>
      </c>
      <c r="E597" s="650">
        <f>IF(A581&lt;=$F$3,N571,0)</f>
        <v>0</v>
      </c>
      <c r="F597" s="634"/>
      <c r="G597" s="598"/>
      <c r="H597" s="598"/>
      <c r="I597" s="634"/>
      <c r="J597" s="598"/>
      <c r="K597" s="598"/>
      <c r="L597" s="634">
        <f>IF(A581&lt;=$F$3,C597+F597-I597,0)</f>
        <v>0</v>
      </c>
      <c r="M597" s="598">
        <f>IF(A581&lt;=$F$3,D597+G597-J597,0)</f>
        <v>0</v>
      </c>
      <c r="N597" s="598">
        <f>IF(A581&lt;=$F$3,E597+H597-K597,0)</f>
        <v>0</v>
      </c>
      <c r="O597" s="635">
        <f>IF(A581&lt;=$F$3,F597*Q597+G597*R597+H597*S597,0)</f>
        <v>0</v>
      </c>
      <c r="P597" s="636">
        <f>IF(A581&lt;=$F$3,I597*Q597+J597*R597+K597*S597,0)</f>
        <v>0</v>
      </c>
      <c r="Q597" s="637">
        <f t="shared" si="203"/>
        <v>52550.000000000044</v>
      </c>
      <c r="R597" s="638">
        <f t="shared" si="203"/>
        <v>81020.160000000062</v>
      </c>
      <c r="S597" s="639">
        <f t="shared" si="203"/>
        <v>84960.160000000062</v>
      </c>
      <c r="T597" s="637">
        <f>L597*$AH$6*AD$26</f>
        <v>0</v>
      </c>
      <c r="U597" s="640" t="e">
        <f>$AH$6*(1-AE$25)*((1+HLOOKUP($A$481,FC_Premissas!$D$5:$W$16,14,FALSE)^0.0833-1))*L597*12</f>
        <v>#REF!</v>
      </c>
      <c r="V597" s="638">
        <f>M597*$AP$6*AL$26</f>
        <v>0</v>
      </c>
      <c r="W597" s="669" t="e">
        <f>$AP$6*(1-AM$25)*((1+HLOOKUP($A$481,FC_Premissas!$D$5:$W$16,14,FALSE))^0.0833-1)*M597*12</f>
        <v>#REF!</v>
      </c>
      <c r="X597" s="637">
        <f>N597*$AX$6*AT$26</f>
        <v>0</v>
      </c>
      <c r="Y597" s="640" t="e">
        <f>$AX$6*(1-AU$25)*((1+HLOOKUP($A$481,FC_Premissas!$D$5:$W$16,14,FALSE))^0.0833-1)*N597*12</f>
        <v>#REF!</v>
      </c>
      <c r="Z597" s="638">
        <f t="shared" si="204"/>
        <v>0</v>
      </c>
      <c r="AA597" s="669" t="e">
        <f t="shared" si="204"/>
        <v>#REF!</v>
      </c>
      <c r="AB597" s="641"/>
    </row>
    <row r="598" spans="1:28" ht="11.25" hidden="1" customHeight="1" x14ac:dyDescent="0.2">
      <c r="A598" s="984"/>
      <c r="B598" s="633">
        <v>15</v>
      </c>
      <c r="C598" s="634">
        <f>IF(A581&lt;=$F$3,L572,0)</f>
        <v>0</v>
      </c>
      <c r="D598" s="598">
        <f>IF(A581&lt;=$F$3,M572,0)</f>
        <v>0</v>
      </c>
      <c r="E598" s="650">
        <f>IF(A581&lt;=$F$3,N572,0)</f>
        <v>0</v>
      </c>
      <c r="F598" s="634"/>
      <c r="G598" s="598"/>
      <c r="H598" s="598"/>
      <c r="I598" s="634"/>
      <c r="J598" s="598"/>
      <c r="K598" s="598"/>
      <c r="L598" s="634">
        <f>IF(A581&lt;=$F$3,C598+F598-I598,0)</f>
        <v>0</v>
      </c>
      <c r="M598" s="598">
        <f>IF(A581&lt;=$F$3,D598+G598-J598,0)</f>
        <v>0</v>
      </c>
      <c r="N598" s="598">
        <f>IF(A581&lt;=$F$3,E598+H598-K598,0)</f>
        <v>0</v>
      </c>
      <c r="O598" s="635">
        <f>IF(A581&lt;=$F$3,F598*Q598+G598*R598+H598*S598,0)</f>
        <v>0</v>
      </c>
      <c r="P598" s="636">
        <f>IF(A581&lt;=$F$3,I598*Q598+J598*R598+K598*S598,0)</f>
        <v>0</v>
      </c>
      <c r="Q598" s="637">
        <f t="shared" si="203"/>
        <v>52550.000000000044</v>
      </c>
      <c r="R598" s="638">
        <f t="shared" si="203"/>
        <v>81020.160000000062</v>
      </c>
      <c r="S598" s="639">
        <f t="shared" si="203"/>
        <v>84960.160000000062</v>
      </c>
      <c r="T598" s="637">
        <f t="shared" ref="T598:T603" si="205">L598*$AH$6*AD$27</f>
        <v>0</v>
      </c>
      <c r="U598" s="640" t="e">
        <f>$AH$6*(1-AE$26)*((1+HLOOKUP($A$481,FC_Premissas!$D$5:$W$16,14,FALSE)^0.0833-1))*L598*12</f>
        <v>#REF!</v>
      </c>
      <c r="V598" s="638">
        <f t="shared" ref="V598:V603" si="206">M598*$AP$6*AL$27</f>
        <v>0</v>
      </c>
      <c r="W598" s="669" t="e">
        <f>$AP$6*(1-AM$26)*((1+HLOOKUP($A$481,FC_Premissas!$D$5:$W$16,14,FALSE))^0.0833-1)*M598*12</f>
        <v>#REF!</v>
      </c>
      <c r="X598" s="637">
        <f t="shared" ref="X598:X603" si="207">N598*$AX$6*AT$27</f>
        <v>0</v>
      </c>
      <c r="Y598" s="640" t="e">
        <f>$AX$6*(1-AU$26)*((1+HLOOKUP($A$481,FC_Premissas!$D$5:$W$16,14,FALSE))^0.0833-1)*N598*12</f>
        <v>#REF!</v>
      </c>
      <c r="Z598" s="638">
        <f t="shared" si="204"/>
        <v>0</v>
      </c>
      <c r="AA598" s="640" t="e">
        <f t="shared" si="204"/>
        <v>#REF!</v>
      </c>
      <c r="AB598" s="641"/>
    </row>
    <row r="599" spans="1:28" hidden="1" x14ac:dyDescent="0.2">
      <c r="A599" s="984"/>
      <c r="B599" s="633">
        <v>16</v>
      </c>
      <c r="C599" s="634">
        <f>IF(A581&lt;=$F$3,L573,0)</f>
        <v>0</v>
      </c>
      <c r="D599" s="598">
        <f>IF(A581&lt;=$F$3,M573,0)</f>
        <v>0</v>
      </c>
      <c r="E599" s="650">
        <f>IF(A581&lt;=$F$3,N573,0)</f>
        <v>0</v>
      </c>
      <c r="F599" s="634"/>
      <c r="G599" s="598"/>
      <c r="H599" s="598"/>
      <c r="I599" s="634"/>
      <c r="J599" s="598"/>
      <c r="K599" s="598"/>
      <c r="L599" s="634">
        <f>IF(A581&lt;=$F$3,C599+F599-I599,0)</f>
        <v>0</v>
      </c>
      <c r="M599" s="598">
        <f>IF(A581&lt;=$F$3,D599+G599-J599,0)</f>
        <v>0</v>
      </c>
      <c r="N599" s="598">
        <f>IF(A581&lt;=$F$3,E599+H599-K599,0)</f>
        <v>0</v>
      </c>
      <c r="O599" s="635">
        <f>IF(A581&lt;=$F$3,F599*Q599+G599*R599+H599*S599,0)</f>
        <v>0</v>
      </c>
      <c r="P599" s="636">
        <f>IF(A581&lt;=$F$3,I599*Q599+J599*R599+K599*S599,0)</f>
        <v>0</v>
      </c>
      <c r="Q599" s="637">
        <f t="shared" ref="Q599:S603" si="208">Q574</f>
        <v>52550.000000000044</v>
      </c>
      <c r="R599" s="638">
        <f t="shared" si="208"/>
        <v>81020.160000000062</v>
      </c>
      <c r="S599" s="639">
        <f t="shared" si="208"/>
        <v>84960.160000000062</v>
      </c>
      <c r="T599" s="637">
        <f t="shared" si="205"/>
        <v>0</v>
      </c>
      <c r="U599" s="640" t="e">
        <f>$AH$6*(1-AE$27)*((1+HLOOKUP($A$481,FC_Premissas!$D$5:$W$16,14,FALSE)^0.0833-1))*L599*12</f>
        <v>#REF!</v>
      </c>
      <c r="V599" s="638">
        <f t="shared" si="206"/>
        <v>0</v>
      </c>
      <c r="W599" s="669" t="e">
        <f>$AP$6*(1-AM$27)*((1+HLOOKUP($A$481,FC_Premissas!$D$5:$W$16,14,FALSE))^0.0833-1)*M599*12</f>
        <v>#REF!</v>
      </c>
      <c r="X599" s="637">
        <f t="shared" si="207"/>
        <v>0</v>
      </c>
      <c r="Y599" s="640" t="e">
        <f>$AX$6*(1-AU$27)*((1+HLOOKUP($A$481,FC_Premissas!$D$5:$W$16,14,FALSE))^0.0833-1)*N599*12</f>
        <v>#REF!</v>
      </c>
      <c r="Z599" s="638">
        <f t="shared" si="204"/>
        <v>0</v>
      </c>
      <c r="AA599" s="640" t="e">
        <f t="shared" si="204"/>
        <v>#REF!</v>
      </c>
      <c r="AB599" s="641"/>
    </row>
    <row r="600" spans="1:28" hidden="1" x14ac:dyDescent="0.2">
      <c r="A600" s="984"/>
      <c r="B600" s="633">
        <v>17</v>
      </c>
      <c r="C600" s="634">
        <f>IF(A581&lt;=$F$3,L574,0)</f>
        <v>0</v>
      </c>
      <c r="D600" s="598">
        <f>IF(A581&lt;=$F$3,M574,0)</f>
        <v>0</v>
      </c>
      <c r="E600" s="650">
        <f>IF(A581&lt;=$F$3,N574,0)</f>
        <v>0</v>
      </c>
      <c r="F600" s="634"/>
      <c r="G600" s="598"/>
      <c r="H600" s="598"/>
      <c r="I600" s="634"/>
      <c r="J600" s="598"/>
      <c r="K600" s="598"/>
      <c r="L600" s="634">
        <f>IF(A581&lt;=$F$3,C600+F600-I600,0)</f>
        <v>0</v>
      </c>
      <c r="M600" s="598">
        <f>IF(A581&lt;=$F$3,D600+G600-J600,0)</f>
        <v>0</v>
      </c>
      <c r="N600" s="598">
        <f>IF(A581&lt;=$F$3,E600+H600-K600,0)</f>
        <v>0</v>
      </c>
      <c r="O600" s="635">
        <f>IF(A581&lt;=$F$3,F600*Q600+G600*R600+H600*S600,0)</f>
        <v>0</v>
      </c>
      <c r="P600" s="636">
        <f>IF(A581&lt;=$F$3,I600*Q600+J600*R600+K600*S600,0)</f>
        <v>0</v>
      </c>
      <c r="Q600" s="637">
        <f t="shared" si="208"/>
        <v>52550.000000000044</v>
      </c>
      <c r="R600" s="638">
        <f t="shared" si="208"/>
        <v>81020.160000000062</v>
      </c>
      <c r="S600" s="639">
        <f t="shared" si="208"/>
        <v>84960.160000000062</v>
      </c>
      <c r="T600" s="637">
        <f t="shared" si="205"/>
        <v>0</v>
      </c>
      <c r="U600" s="640" t="e">
        <f>$AH$6*(1-AE$28)*((1+HLOOKUP($A$481,FC_Premissas!$D$5:$W$16,14,FALSE)^0.0833-1))*L600*12</f>
        <v>#REF!</v>
      </c>
      <c r="V600" s="638">
        <f t="shared" si="206"/>
        <v>0</v>
      </c>
      <c r="W600" s="669" t="e">
        <f>$AP$6*(1-AM$28)*((1+HLOOKUP($A$481,FC_Premissas!$D$5:$W$16,14,FALSE))^0.0833-1)*M600*12</f>
        <v>#REF!</v>
      </c>
      <c r="X600" s="637">
        <f t="shared" si="207"/>
        <v>0</v>
      </c>
      <c r="Y600" s="640" t="e">
        <f>$AX$6*(1-AU$28)*((1+HLOOKUP($A$481,FC_Premissas!$D$5:$W$16,14,FALSE))^0.0833-1)*N600*12</f>
        <v>#REF!</v>
      </c>
      <c r="Z600" s="638">
        <f t="shared" si="204"/>
        <v>0</v>
      </c>
      <c r="AA600" s="640" t="e">
        <f t="shared" si="204"/>
        <v>#REF!</v>
      </c>
      <c r="AB600" s="641"/>
    </row>
    <row r="601" spans="1:28" hidden="1" x14ac:dyDescent="0.2">
      <c r="A601" s="984"/>
      <c r="B601" s="633">
        <v>18</v>
      </c>
      <c r="C601" s="634">
        <f>IF(A581&lt;=$F$3,L575,0)</f>
        <v>0</v>
      </c>
      <c r="D601" s="598">
        <f>IF(A581&lt;=$F$3,M575,0)</f>
        <v>0</v>
      </c>
      <c r="E601" s="650">
        <f>IF(A581&lt;=$F$3,N575,0)</f>
        <v>0</v>
      </c>
      <c r="F601" s="634"/>
      <c r="G601" s="598"/>
      <c r="H601" s="598"/>
      <c r="I601" s="634"/>
      <c r="J601" s="598"/>
      <c r="K601" s="598"/>
      <c r="L601" s="634">
        <f>IF(A581&lt;=$F$3,C601+F601-I601,0)</f>
        <v>0</v>
      </c>
      <c r="M601" s="598">
        <f>IF(A581&lt;=$F$3,D601+G601-J601,0)</f>
        <v>0</v>
      </c>
      <c r="N601" s="598">
        <f>IF(A581&lt;=$F$3,E601+H601-K601,0)</f>
        <v>0</v>
      </c>
      <c r="O601" s="635">
        <f>IF(A581&lt;=$F$3,F601*Q601+G601*R601+H601*S601,0)</f>
        <v>0</v>
      </c>
      <c r="P601" s="636">
        <f>IF(A581&lt;=$F$3,I601*Q601+J601*R601+K601*S601,0)</f>
        <v>0</v>
      </c>
      <c r="Q601" s="637">
        <f t="shared" si="208"/>
        <v>52550.000000000044</v>
      </c>
      <c r="R601" s="638">
        <f t="shared" si="208"/>
        <v>81020.160000000062</v>
      </c>
      <c r="S601" s="639">
        <f t="shared" si="208"/>
        <v>84960.160000000062</v>
      </c>
      <c r="T601" s="637">
        <f t="shared" si="205"/>
        <v>0</v>
      </c>
      <c r="U601" s="640" t="e">
        <f>$AH$6*(1-AE$29)*((1+HLOOKUP($A$481,FC_Premissas!$D$5:$W$16,14,FALSE)^0.0833-1))*L601*12</f>
        <v>#REF!</v>
      </c>
      <c r="V601" s="638">
        <f t="shared" si="206"/>
        <v>0</v>
      </c>
      <c r="W601" s="669" t="e">
        <f>$AP$6*(1-AM$29)*((1+HLOOKUP($A$481,FC_Premissas!$D$5:$W$16,14,FALSE))^0.0833-1)*M601*12</f>
        <v>#REF!</v>
      </c>
      <c r="X601" s="637">
        <f t="shared" si="207"/>
        <v>0</v>
      </c>
      <c r="Y601" s="640" t="e">
        <f>$AX$6*(1-AU$29)*((1+HLOOKUP($A$481,FC_Premissas!$D$5:$W$16,14,FALSE))^0.0833-1)*N601*12</f>
        <v>#REF!</v>
      </c>
      <c r="Z601" s="638">
        <f t="shared" si="204"/>
        <v>0</v>
      </c>
      <c r="AA601" s="640" t="e">
        <f t="shared" si="204"/>
        <v>#REF!</v>
      </c>
      <c r="AB601" s="641"/>
    </row>
    <row r="602" spans="1:28" hidden="1" x14ac:dyDescent="0.2">
      <c r="A602" s="984"/>
      <c r="B602" s="633">
        <v>19</v>
      </c>
      <c r="C602" s="634">
        <f>IF(A581&lt;=$F$3,L576,0)</f>
        <v>0</v>
      </c>
      <c r="D602" s="598">
        <f>IF(A581&lt;=$F$3,M576,0)</f>
        <v>0</v>
      </c>
      <c r="E602" s="650">
        <f>IF(A581&lt;=$F$3,N576,0)</f>
        <v>0</v>
      </c>
      <c r="F602" s="634"/>
      <c r="G602" s="598"/>
      <c r="H602" s="598"/>
      <c r="I602" s="634"/>
      <c r="J602" s="598"/>
      <c r="K602" s="598"/>
      <c r="L602" s="634">
        <f>IF(A581&lt;=$F$3,C602+F602-I602,0)</f>
        <v>0</v>
      </c>
      <c r="M602" s="598">
        <f>IF(A581&lt;=$F$3,D602+G602-J602,0)</f>
        <v>0</v>
      </c>
      <c r="N602" s="598">
        <f>IF(A581&lt;=$F$3,E602+H602-K602,0)</f>
        <v>0</v>
      </c>
      <c r="O602" s="635">
        <f>IF(A581&lt;=$F$3,F602*Q602+G602*R602+H602*S602,0)</f>
        <v>0</v>
      </c>
      <c r="P602" s="636">
        <f>IF(A581&lt;=$F$3,I602*Q602+J602*R602+K602*S602,0)</f>
        <v>0</v>
      </c>
      <c r="Q602" s="637">
        <f t="shared" si="208"/>
        <v>52550.000000000044</v>
      </c>
      <c r="R602" s="638">
        <f t="shared" si="208"/>
        <v>81020.160000000062</v>
      </c>
      <c r="S602" s="639">
        <f t="shared" si="208"/>
        <v>84960.160000000062</v>
      </c>
      <c r="T602" s="637">
        <f t="shared" si="205"/>
        <v>0</v>
      </c>
      <c r="U602" s="640" t="e">
        <f>$AH$6*(1-AE$30)*((1+HLOOKUP($A$481,FC_Premissas!$D$5:$W$16,14,FALSE)^0.0833-1))*L602*12</f>
        <v>#REF!</v>
      </c>
      <c r="V602" s="638">
        <f t="shared" si="206"/>
        <v>0</v>
      </c>
      <c r="W602" s="669" t="e">
        <f>$AP$6*(1-AM$30)*((1+HLOOKUP($A$481,FC_Premissas!$D$5:$W$16,14,FALSE))^0.0833-1)*M602*12</f>
        <v>#REF!</v>
      </c>
      <c r="X602" s="637">
        <f t="shared" si="207"/>
        <v>0</v>
      </c>
      <c r="Y602" s="640" t="e">
        <f>$AX$6*(1-AU$30)*((1+HLOOKUP($A$481,FC_Premissas!$D$5:$W$16,14,FALSE))^0.0833-1)*N602*12</f>
        <v>#REF!</v>
      </c>
      <c r="Z602" s="638">
        <f t="shared" si="204"/>
        <v>0</v>
      </c>
      <c r="AA602" s="640" t="e">
        <f t="shared" si="204"/>
        <v>#REF!</v>
      </c>
      <c r="AB602" s="641"/>
    </row>
    <row r="603" spans="1:28" hidden="1" x14ac:dyDescent="0.2">
      <c r="A603" s="984"/>
      <c r="B603" s="633">
        <v>20</v>
      </c>
      <c r="C603" s="616">
        <f>IF(A581&lt;=$F$3,L577,0)</f>
        <v>0</v>
      </c>
      <c r="D603" s="617">
        <f>IF(A581&lt;=$F$3,M577,0)</f>
        <v>0</v>
      </c>
      <c r="E603" s="650">
        <f>IF(A581&lt;=$F$3,N577,0)</f>
        <v>0</v>
      </c>
      <c r="F603" s="616"/>
      <c r="G603" s="617"/>
      <c r="H603" s="598"/>
      <c r="I603" s="616"/>
      <c r="J603" s="617"/>
      <c r="K603" s="598"/>
      <c r="L603" s="616">
        <f>IF(A581&lt;=$F$3,C603+F603-I603,0)</f>
        <v>0</v>
      </c>
      <c r="M603" s="617">
        <f>IF(A581&lt;=$F$3,D603+G603-J603,0)</f>
        <v>0</v>
      </c>
      <c r="N603" s="598">
        <f>IF(A581&lt;=$F$3,E603+H603-K603,0)</f>
        <v>0</v>
      </c>
      <c r="O603" s="635">
        <f>IF(A581&lt;=$F$3,F603*Q603+G603*R603+H603*S603,0)</f>
        <v>0</v>
      </c>
      <c r="P603" s="636">
        <f>IF(A581&lt;=$F$3,I603*Q603+J603*R603+K603*S603,0)</f>
        <v>0</v>
      </c>
      <c r="Q603" s="651">
        <f t="shared" si="208"/>
        <v>52550.000000000044</v>
      </c>
      <c r="R603" s="652">
        <f t="shared" si="208"/>
        <v>81020.160000000062</v>
      </c>
      <c r="S603" s="653">
        <f t="shared" si="208"/>
        <v>84960.160000000062</v>
      </c>
      <c r="T603" s="651">
        <f t="shared" si="205"/>
        <v>0</v>
      </c>
      <c r="U603" s="654" t="e">
        <f>$AH$6*(1-AE$31)*((1+HLOOKUP($A$481,FC_Premissas!$D$5:$W$16,14,FALSE)^0.0833-1))*L603*12</f>
        <v>#REF!</v>
      </c>
      <c r="V603" s="652">
        <f t="shared" si="206"/>
        <v>0</v>
      </c>
      <c r="W603" s="678" t="e">
        <f>$AP$6*(1-AM$31)*((1+HLOOKUP($A$481,FC_Premissas!$D$5:$W$16,14,FALSE))^0.0833-1)*M603*12</f>
        <v>#REF!</v>
      </c>
      <c r="X603" s="651">
        <f t="shared" si="207"/>
        <v>0</v>
      </c>
      <c r="Y603" s="654" t="e">
        <f>$AX$6*(1-AU$31)*((1+HLOOKUP($A$481,FC_Premissas!$D$5:$W$16,14,FALSE))^0.0833-1)*N603*12</f>
        <v>#REF!</v>
      </c>
      <c r="Z603" s="652">
        <f t="shared" si="204"/>
        <v>0</v>
      </c>
      <c r="AA603" s="654" t="e">
        <f t="shared" si="204"/>
        <v>#REF!</v>
      </c>
      <c r="AB603" s="641"/>
    </row>
    <row r="604" spans="1:28" hidden="1" x14ac:dyDescent="0.2">
      <c r="A604" s="984"/>
      <c r="B604" s="655" t="s">
        <v>1228</v>
      </c>
      <c r="C604" s="656">
        <f t="shared" ref="C604:P604" si="209">SUM(C583:C603)</f>
        <v>0</v>
      </c>
      <c r="D604" s="657">
        <f t="shared" si="209"/>
        <v>0</v>
      </c>
      <c r="E604" s="658">
        <f t="shared" si="209"/>
        <v>0</v>
      </c>
      <c r="F604" s="656">
        <f t="shared" si="209"/>
        <v>0</v>
      </c>
      <c r="G604" s="657">
        <f t="shared" si="209"/>
        <v>0</v>
      </c>
      <c r="H604" s="658">
        <f t="shared" si="209"/>
        <v>0</v>
      </c>
      <c r="I604" s="656">
        <f t="shared" si="209"/>
        <v>0</v>
      </c>
      <c r="J604" s="657">
        <f t="shared" si="209"/>
        <v>0</v>
      </c>
      <c r="K604" s="658">
        <f t="shared" si="209"/>
        <v>0</v>
      </c>
      <c r="L604" s="656">
        <f t="shared" si="209"/>
        <v>0</v>
      </c>
      <c r="M604" s="657">
        <f t="shared" si="209"/>
        <v>0</v>
      </c>
      <c r="N604" s="657">
        <f t="shared" si="209"/>
        <v>0</v>
      </c>
      <c r="O604" s="659">
        <f t="shared" si="209"/>
        <v>0</v>
      </c>
      <c r="P604" s="660">
        <f t="shared" si="209"/>
        <v>0</v>
      </c>
      <c r="Q604" s="638"/>
      <c r="R604" s="638"/>
      <c r="S604" s="638"/>
      <c r="T604" s="661">
        <f t="shared" ref="T604:AA604" si="210">SUM(T583:T603)</f>
        <v>0</v>
      </c>
      <c r="U604" s="662" t="e">
        <f t="shared" si="210"/>
        <v>#REF!</v>
      </c>
      <c r="V604" s="663">
        <f t="shared" si="210"/>
        <v>0</v>
      </c>
      <c r="W604" s="662" t="e">
        <f t="shared" si="210"/>
        <v>#REF!</v>
      </c>
      <c r="X604" s="663">
        <f t="shared" si="210"/>
        <v>0</v>
      </c>
      <c r="Y604" s="662" t="e">
        <f t="shared" si="210"/>
        <v>#REF!</v>
      </c>
      <c r="Z604" s="663">
        <f t="shared" si="210"/>
        <v>0</v>
      </c>
      <c r="AA604" s="664" t="e">
        <f t="shared" si="210"/>
        <v>#REF!</v>
      </c>
      <c r="AB604" s="641"/>
    </row>
    <row r="605" spans="1:28" hidden="1" x14ac:dyDescent="0.2">
      <c r="A605" s="985"/>
      <c r="B605" s="977" t="s">
        <v>1229</v>
      </c>
      <c r="C605" s="977"/>
      <c r="D605" s="977"/>
      <c r="E605" s="666" t="e">
        <f>(L605*L604+M605*M604+N605*N604)/(L604+M604+N604)</f>
        <v>#DIV/0!</v>
      </c>
      <c r="F605" s="665" t="s">
        <v>140</v>
      </c>
      <c r="G605" s="665"/>
      <c r="H605" s="665"/>
      <c r="I605" s="665"/>
      <c r="J605" s="665"/>
      <c r="K605" s="665"/>
      <c r="L605" s="887">
        <f>IF(L604=0,0,(SUMPRODUCT(L583:L603,$B583:$B603)/L604))</f>
        <v>0</v>
      </c>
      <c r="M605" s="887">
        <f>IF(M604=0,0,(SUMPRODUCT(M583:M603,$B583:$B603)/M604))</f>
        <v>0</v>
      </c>
      <c r="N605" s="887">
        <f>IF(N604=0,0,ROUND(SUMPRODUCT(N583:N603,$B583:$B603)/N604,0))</f>
        <v>0</v>
      </c>
      <c r="O605" s="667"/>
      <c r="P605" s="668"/>
      <c r="Q605" s="638"/>
      <c r="R605" s="638"/>
      <c r="S605" s="638"/>
      <c r="T605" s="638"/>
      <c r="U605" s="669"/>
      <c r="V605" s="638"/>
      <c r="W605" s="669"/>
      <c r="X605" s="638"/>
      <c r="Y605" s="669"/>
      <c r="Z605" s="638"/>
      <c r="AA605" s="669"/>
    </row>
    <row r="606" spans="1:28" ht="12.75" hidden="1" customHeight="1" x14ac:dyDescent="0.2">
      <c r="A606" s="983">
        <f>A581+1</f>
        <v>25</v>
      </c>
      <c r="B606" s="986" t="s">
        <v>1077</v>
      </c>
      <c r="C606" s="988" t="s">
        <v>1202</v>
      </c>
      <c r="D606" s="989"/>
      <c r="E606" s="990"/>
      <c r="F606" s="991" t="s">
        <v>1203</v>
      </c>
      <c r="G606" s="992"/>
      <c r="H606" s="993"/>
      <c r="I606" s="991" t="s">
        <v>1204</v>
      </c>
      <c r="J606" s="992"/>
      <c r="K606" s="993"/>
      <c r="L606" s="991" t="s">
        <v>1205</v>
      </c>
      <c r="M606" s="992"/>
      <c r="N606" s="992"/>
      <c r="O606" s="978" t="s">
        <v>1206</v>
      </c>
      <c r="P606" s="979"/>
      <c r="Q606" s="980" t="s">
        <v>1207</v>
      </c>
      <c r="R606" s="981"/>
      <c r="S606" s="982"/>
      <c r="T606" s="607" t="s">
        <v>1208</v>
      </c>
      <c r="U606" s="609" t="s">
        <v>1209</v>
      </c>
      <c r="V606" s="608" t="s">
        <v>1210</v>
      </c>
      <c r="W606" s="610" t="s">
        <v>1211</v>
      </c>
      <c r="X606" s="607" t="s">
        <v>1210</v>
      </c>
      <c r="Y606" s="609" t="s">
        <v>1211</v>
      </c>
      <c r="Z606" s="607" t="s">
        <v>1210</v>
      </c>
      <c r="AA606" s="609" t="s">
        <v>1211</v>
      </c>
    </row>
    <row r="607" spans="1:28" hidden="1" x14ac:dyDescent="0.2">
      <c r="A607" s="984"/>
      <c r="B607" s="987"/>
      <c r="C607" s="616" t="str">
        <f>$C$7</f>
        <v>Mini</v>
      </c>
      <c r="D607" s="617" t="str">
        <f>$D$7</f>
        <v>Midi</v>
      </c>
      <c r="E607" s="617" t="str">
        <f>$E$7</f>
        <v>Básico</v>
      </c>
      <c r="F607" s="616" t="str">
        <f>$C$7</f>
        <v>Mini</v>
      </c>
      <c r="G607" s="617" t="str">
        <f>$D$7</f>
        <v>Midi</v>
      </c>
      <c r="H607" s="617" t="str">
        <f>$E$7</f>
        <v>Básico</v>
      </c>
      <c r="I607" s="616" t="str">
        <f>$C$7</f>
        <v>Mini</v>
      </c>
      <c r="J607" s="617" t="str">
        <f>$D$7</f>
        <v>Midi</v>
      </c>
      <c r="K607" s="617" t="str">
        <f>$E$7</f>
        <v>Básico</v>
      </c>
      <c r="L607" s="616" t="str">
        <f>$C$7</f>
        <v>Mini</v>
      </c>
      <c r="M607" s="617" t="str">
        <f>$D$7</f>
        <v>Midi</v>
      </c>
      <c r="N607" s="617" t="str">
        <f>$E$7</f>
        <v>Básico</v>
      </c>
      <c r="O607" s="667" t="s">
        <v>1203</v>
      </c>
      <c r="P607" s="668" t="s">
        <v>1204</v>
      </c>
      <c r="Q607" s="620" t="str">
        <f>C607</f>
        <v>Mini</v>
      </c>
      <c r="R607" s="621" t="str">
        <f>D607</f>
        <v>Midi</v>
      </c>
      <c r="S607" s="622" t="str">
        <f>E607</f>
        <v>Básico</v>
      </c>
      <c r="T607" s="623" t="str">
        <f>C607</f>
        <v>Mini</v>
      </c>
      <c r="U607" s="624" t="str">
        <f>C607</f>
        <v>Mini</v>
      </c>
      <c r="V607" s="625" t="str">
        <f>D607</f>
        <v>Midi</v>
      </c>
      <c r="W607" s="626" t="str">
        <f>D607</f>
        <v>Midi</v>
      </c>
      <c r="X607" s="623" t="str">
        <f>E607</f>
        <v>Básico</v>
      </c>
      <c r="Y607" s="624" t="str">
        <f>E607</f>
        <v>Básico</v>
      </c>
      <c r="Z607" s="627" t="s">
        <v>1218</v>
      </c>
      <c r="AA607" s="628" t="s">
        <v>1218</v>
      </c>
    </row>
    <row r="608" spans="1:28" hidden="1" x14ac:dyDescent="0.2">
      <c r="A608" s="984"/>
      <c r="B608" s="633">
        <v>0</v>
      </c>
      <c r="C608" s="634">
        <v>0</v>
      </c>
      <c r="F608" s="679"/>
      <c r="G608" s="680"/>
      <c r="H608" s="680"/>
      <c r="I608" s="679"/>
      <c r="J608" s="680"/>
      <c r="K608" s="680"/>
      <c r="L608" s="634">
        <f>IF(A606&lt;=$F$3,C608+F608-I608,0)</f>
        <v>0</v>
      </c>
      <c r="M608" s="598">
        <f>IF(A606&lt;=$F$3,D608+G608-J608,0)</f>
        <v>0</v>
      </c>
      <c r="N608" s="598">
        <f>IF(A606&lt;=$F$3,E608+H608-K608,0)</f>
        <v>0</v>
      </c>
      <c r="O608" s="635">
        <f>IF(A606&lt;=$F$3,F608*Q608+G608*R608+H608*S608,0)</f>
        <v>0</v>
      </c>
      <c r="P608" s="636">
        <f>IF(A606&lt;=$F$3,I608*Q608+J608*R608+K608*S608,0)</f>
        <v>0</v>
      </c>
      <c r="Q608" s="637">
        <f t="shared" ref="Q608:S623" si="211">Q583</f>
        <v>525500</v>
      </c>
      <c r="R608" s="638">
        <f t="shared" si="211"/>
        <v>703800</v>
      </c>
      <c r="S608" s="639">
        <f t="shared" si="211"/>
        <v>743200</v>
      </c>
      <c r="T608" s="637">
        <f>L608*$AH$6*AD$12</f>
        <v>0</v>
      </c>
      <c r="U608" s="640" t="e">
        <f>$AH$6*(1-AE$11)*((1+HLOOKUP($A$481,FC_Premissas!$D$5:$W$16,14,FALSE)^0.0833-1))*L608*12</f>
        <v>#REF!</v>
      </c>
      <c r="V608" s="638">
        <f>M608*$AP$6*AL$12</f>
        <v>0</v>
      </c>
      <c r="W608" s="669" t="e">
        <f>$AP$6*(1-AM$11)*((1+HLOOKUP($A$481,FC_Premissas!$D$5:$W$16,14,FALSE)^0.0833-1))*M608*12</f>
        <v>#REF!</v>
      </c>
      <c r="X608" s="637">
        <f>N608*$AX$6*AT$12</f>
        <v>0</v>
      </c>
      <c r="Y608" s="640" t="e">
        <f>$AX$6*(1-AU$11)*((1+HLOOKUP($A$481,FC_Premissas!$D$5:$W$16,14,FALSE)^0.0833-1))*N608*12</f>
        <v>#REF!</v>
      </c>
      <c r="Z608" s="638">
        <f t="shared" ref="Z608:AA628" si="212">T608+V608+X608</f>
        <v>0</v>
      </c>
      <c r="AA608" s="669" t="e">
        <f t="shared" si="212"/>
        <v>#REF!</v>
      </c>
      <c r="AB608" s="641"/>
    </row>
    <row r="609" spans="1:28" hidden="1" x14ac:dyDescent="0.2">
      <c r="A609" s="984"/>
      <c r="B609" s="633">
        <v>1</v>
      </c>
      <c r="C609" s="634">
        <f>IF(A606&lt;=$F$3,L583,0)</f>
        <v>0</v>
      </c>
      <c r="D609" s="598">
        <f>IF(A606&lt;=$F$3,M583,0)</f>
        <v>0</v>
      </c>
      <c r="E609" s="598">
        <f>IF(A606&lt;=$F$3,N583,0)</f>
        <v>0</v>
      </c>
      <c r="F609" s="679"/>
      <c r="G609" s="680"/>
      <c r="H609" s="680"/>
      <c r="I609" s="681"/>
      <c r="J609" s="680"/>
      <c r="K609" s="680"/>
      <c r="L609" s="634">
        <f>IF(A606&lt;=$F$3,C609+F609-I609,0)</f>
        <v>0</v>
      </c>
      <c r="M609" s="598">
        <f>IF(A606&lt;=$F$3,D609+G609-J609,0)</f>
        <v>0</v>
      </c>
      <c r="N609" s="598">
        <f>IF(A606&lt;=$F$3,E609+H609-K609,0)</f>
        <v>0</v>
      </c>
      <c r="O609" s="635">
        <f>IF(A606&lt;=$F$3,F609*Q609+G609*R609+H609*S609,0)</f>
        <v>0</v>
      </c>
      <c r="P609" s="636">
        <f>IF(A606&lt;=$F$3,I609*Q609+J609*R609+K609*S609,0)</f>
        <v>0</v>
      </c>
      <c r="Q609" s="637">
        <f t="shared" si="211"/>
        <v>439509.09090909094</v>
      </c>
      <c r="R609" s="638">
        <f t="shared" si="211"/>
        <v>590567.30181818188</v>
      </c>
      <c r="S609" s="639">
        <f t="shared" si="211"/>
        <v>623520.02909090917</v>
      </c>
      <c r="T609" s="637">
        <f>L609*$AH$6*AD$13</f>
        <v>0</v>
      </c>
      <c r="U609" s="640" t="e">
        <f>$AH$6*(1-AE$12)*((1+HLOOKUP($A$481,FC_Premissas!$D$5:$W$16,14,FALSE)^0.0833-1))*L609*12</f>
        <v>#REF!</v>
      </c>
      <c r="V609" s="638">
        <f>M609*$AP$6*AL$13</f>
        <v>0</v>
      </c>
      <c r="W609" s="669" t="e">
        <f>$AP$6*(1-AM$12)*((1+HLOOKUP($A$481,FC_Premissas!$D$5:$W$16,14,FALSE))^0.0833-1)*M609*12</f>
        <v>#REF!</v>
      </c>
      <c r="X609" s="637">
        <f>N609*$AX$6*AT$13</f>
        <v>0</v>
      </c>
      <c r="Y609" s="640" t="e">
        <f>$AX$6*(1-AU$12)*((1+HLOOKUP($A$481,FC_Premissas!$D$5:$W$16,14,FALSE))^0.0833-1)*N609*12</f>
        <v>#REF!</v>
      </c>
      <c r="Z609" s="638">
        <f t="shared" si="212"/>
        <v>0</v>
      </c>
      <c r="AA609" s="669" t="e">
        <f t="shared" si="212"/>
        <v>#REF!</v>
      </c>
      <c r="AB609" s="641"/>
    </row>
    <row r="610" spans="1:28" hidden="1" x14ac:dyDescent="0.2">
      <c r="A610" s="984"/>
      <c r="B610" s="633">
        <v>2</v>
      </c>
      <c r="C610" s="634">
        <f>IF(A606&lt;=$F$3,L584,0)</f>
        <v>0</v>
      </c>
      <c r="D610" s="598">
        <f>IF(A606&lt;=$F$3,M584,0)</f>
        <v>0</v>
      </c>
      <c r="E610" s="598">
        <f>IF(A606&lt;=$F$3,N584,0)</f>
        <v>0</v>
      </c>
      <c r="F610" s="679"/>
      <c r="G610" s="680"/>
      <c r="H610" s="680"/>
      <c r="I610" s="679"/>
      <c r="J610" s="680"/>
      <c r="K610" s="680"/>
      <c r="L610" s="634">
        <f>IF(A606&lt;=$F$3,C610+F610-I610,0)</f>
        <v>0</v>
      </c>
      <c r="M610" s="598">
        <f>IF(A606&lt;=$F$3,D610+G610-J610,0)</f>
        <v>0</v>
      </c>
      <c r="N610" s="598">
        <f>IF(A606&lt;=$F$3,E610+H610-K610,0)</f>
        <v>0</v>
      </c>
      <c r="O610" s="635">
        <f>IF(A606&lt;=$F$3,F610*Q610+G610*R610+H610*S610,0)</f>
        <v>0</v>
      </c>
      <c r="P610" s="636">
        <f>IF(A606&lt;=$F$3,I610*Q610+J610*R610+K610*S610,0)</f>
        <v>0</v>
      </c>
      <c r="Q610" s="637">
        <f t="shared" si="211"/>
        <v>362117.27272727271</v>
      </c>
      <c r="R610" s="638">
        <f t="shared" si="211"/>
        <v>488657.87345454545</v>
      </c>
      <c r="S610" s="639">
        <f t="shared" si="211"/>
        <v>515808.05527272727</v>
      </c>
      <c r="T610" s="637">
        <f>L610*$AH$6*AD$14</f>
        <v>0</v>
      </c>
      <c r="U610" s="640" t="e">
        <f>$AH$6*(1-AE$13)*((1+HLOOKUP($A$481,FC_Premissas!$D$5:$W$16,14,FALSE)^0.0833-1))*L610*12</f>
        <v>#REF!</v>
      </c>
      <c r="V610" s="638">
        <f>M610*$AP$6*AL$14</f>
        <v>0</v>
      </c>
      <c r="W610" s="669" t="e">
        <f>$AP$6*(1-AM$13)*((1+HLOOKUP($A$481,FC_Premissas!$D$5:$W$16,14,FALSE))^0.0833-1)*M610*12</f>
        <v>#REF!</v>
      </c>
      <c r="X610" s="637">
        <f>N610*$AX$6*AT$14</f>
        <v>0</v>
      </c>
      <c r="Y610" s="640" t="e">
        <f>$AX$6*(1-AU$13)*((1+HLOOKUP($A$481,FC_Premissas!$D$5:$W$16,14,FALSE))^0.0833-1)*N610*12</f>
        <v>#REF!</v>
      </c>
      <c r="Z610" s="638">
        <f t="shared" si="212"/>
        <v>0</v>
      </c>
      <c r="AA610" s="669" t="e">
        <f t="shared" si="212"/>
        <v>#REF!</v>
      </c>
      <c r="AB610" s="641"/>
    </row>
    <row r="611" spans="1:28" hidden="1" x14ac:dyDescent="0.2">
      <c r="A611" s="984"/>
      <c r="B611" s="633">
        <v>3</v>
      </c>
      <c r="C611" s="634">
        <f>IF(A606&lt;=$F$3,L585,0)</f>
        <v>0</v>
      </c>
      <c r="D611" s="598">
        <f>IF(A606&lt;=$F$3,M585,0)</f>
        <v>0</v>
      </c>
      <c r="E611" s="598">
        <f>IF(A606&lt;=$F$3,N585,0)</f>
        <v>0</v>
      </c>
      <c r="F611" s="679"/>
      <c r="G611" s="680"/>
      <c r="H611" s="680"/>
      <c r="I611" s="679"/>
      <c r="J611" s="680"/>
      <c r="K611" s="680"/>
      <c r="L611" s="634">
        <f>IF(A606&lt;=$F$3,C611+F611-I611,0)</f>
        <v>0</v>
      </c>
      <c r="M611" s="598">
        <f>IF(A606&lt;=$F$3,D611+G611-J611,0)</f>
        <v>0</v>
      </c>
      <c r="N611" s="598">
        <f>IF(A606&lt;=$F$3,E611+H611-K611,0)</f>
        <v>0</v>
      </c>
      <c r="O611" s="635">
        <f>IF(A606&lt;=$F$3,F611*Q611+G611*R611+H611*S611,0)</f>
        <v>0</v>
      </c>
      <c r="P611" s="636">
        <f>IF(A606&lt;=$F$3,I611*Q611+J611*R611+K611*S611,0)</f>
        <v>0</v>
      </c>
      <c r="Q611" s="637">
        <f t="shared" si="211"/>
        <v>293324.54545454541</v>
      </c>
      <c r="R611" s="638">
        <f t="shared" si="211"/>
        <v>398071.71490909089</v>
      </c>
      <c r="S611" s="639">
        <f t="shared" si="211"/>
        <v>420064.07854545448</v>
      </c>
      <c r="T611" s="637">
        <f>L611*$AH$6*AD$15</f>
        <v>0</v>
      </c>
      <c r="U611" s="640" t="e">
        <f>$AH$6*(1-AE$14)*((1+HLOOKUP($A$481,FC_Premissas!$D$5:$W$16,14,FALSE)^0.0833-1))*L611*12</f>
        <v>#REF!</v>
      </c>
      <c r="V611" s="638">
        <f>M611*$AP$6*AL$15</f>
        <v>0</v>
      </c>
      <c r="W611" s="669" t="e">
        <f>$AP$6*(1-AM$14)*((1+HLOOKUP($A$481,FC_Premissas!$D$5:$W$16,14,FALSE))^0.0833-1)*M611*12</f>
        <v>#REF!</v>
      </c>
      <c r="X611" s="637">
        <f>N611*$AX$6*AT$15</f>
        <v>0</v>
      </c>
      <c r="Y611" s="640" t="e">
        <f>$AX$6*(1-AU$14)*((1+HLOOKUP($A$481,FC_Premissas!$D$5:$W$16,14,FALSE))^0.0833-1)*N611*12</f>
        <v>#REF!</v>
      </c>
      <c r="Z611" s="638">
        <f t="shared" si="212"/>
        <v>0</v>
      </c>
      <c r="AA611" s="669" t="e">
        <f t="shared" si="212"/>
        <v>#REF!</v>
      </c>
      <c r="AB611" s="641"/>
    </row>
    <row r="612" spans="1:28" hidden="1" x14ac:dyDescent="0.2">
      <c r="A612" s="984"/>
      <c r="B612" s="633">
        <v>4</v>
      </c>
      <c r="C612" s="634">
        <f>IF(A606&lt;=$F$3,L586,0)</f>
        <v>0</v>
      </c>
      <c r="D612" s="598">
        <f>IF(A606&lt;=$F$3,M586,0)</f>
        <v>0</v>
      </c>
      <c r="E612" s="598">
        <f>IF(A606&lt;=$F$3,N586,0)</f>
        <v>0</v>
      </c>
      <c r="F612" s="679"/>
      <c r="G612" s="680"/>
      <c r="H612" s="680"/>
      <c r="I612" s="679"/>
      <c r="J612" s="680"/>
      <c r="K612" s="680"/>
      <c r="L612" s="634">
        <f>IF(A606&lt;=$F$3,C612+F612-I612,0)</f>
        <v>0</v>
      </c>
      <c r="M612" s="598">
        <f>IF(A606&lt;=$F$3,D612+G612-J612,0)</f>
        <v>0</v>
      </c>
      <c r="N612" s="598">
        <f>IF(A606&lt;=$F$3,E612+H612-K612,0)</f>
        <v>0</v>
      </c>
      <c r="O612" s="635">
        <f>IF(A606&lt;=$F$3,F612*Q612+G612*R612+H612*S612,0)</f>
        <v>0</v>
      </c>
      <c r="P612" s="636">
        <f>IF(A606&lt;=$F$3,I612*Q612+J612*R612+K612*S612,0)</f>
        <v>0</v>
      </c>
      <c r="Q612" s="637">
        <f t="shared" si="211"/>
        <v>233130.90909090909</v>
      </c>
      <c r="R612" s="638">
        <f t="shared" si="211"/>
        <v>318808.82618181815</v>
      </c>
      <c r="S612" s="639">
        <f t="shared" si="211"/>
        <v>336288.09890909091</v>
      </c>
      <c r="T612" s="637">
        <f>L612*$AH$6*AD$16</f>
        <v>0</v>
      </c>
      <c r="U612" s="640" t="e">
        <f>$AH$6*(1-AE$15)*((1+HLOOKUP($A$481,FC_Premissas!$D$5:$W$16,14,FALSE)^0.0833-1))*L612*12</f>
        <v>#REF!</v>
      </c>
      <c r="V612" s="638">
        <f>M612*$AP$6*AL$16</f>
        <v>0</v>
      </c>
      <c r="W612" s="669" t="e">
        <f>$AP$6*(1-AM$15)*((1+HLOOKUP($A$481,FC_Premissas!$D$5:$W$16,14,FALSE))^0.0833-1)*M612*12</f>
        <v>#REF!</v>
      </c>
      <c r="X612" s="637">
        <f>N612*$AX$6*AT$16</f>
        <v>0</v>
      </c>
      <c r="Y612" s="640" t="e">
        <f>$AX$6*(1-AU$15)*((1+HLOOKUP($A$481,FC_Premissas!$D$5:$W$16,14,FALSE))^0.0833-1)*N612*12</f>
        <v>#REF!</v>
      </c>
      <c r="Z612" s="638">
        <f t="shared" si="212"/>
        <v>0</v>
      </c>
      <c r="AA612" s="669" t="e">
        <f t="shared" si="212"/>
        <v>#REF!</v>
      </c>
      <c r="AB612" s="641"/>
    </row>
    <row r="613" spans="1:28" hidden="1" x14ac:dyDescent="0.2">
      <c r="A613" s="984"/>
      <c r="B613" s="633">
        <v>5</v>
      </c>
      <c r="C613" s="634">
        <f>IF(A606&lt;=$F$3,L587,0)</f>
        <v>0</v>
      </c>
      <c r="D613" s="598">
        <f>IF(A606&lt;=$F$3,M587,0)</f>
        <v>0</v>
      </c>
      <c r="E613" s="598">
        <f>IF(A606&lt;=$F$3,N587,0)</f>
        <v>0</v>
      </c>
      <c r="F613" s="679"/>
      <c r="G613" s="680"/>
      <c r="H613" s="680"/>
      <c r="I613" s="679"/>
      <c r="J613" s="680"/>
      <c r="K613" s="680"/>
      <c r="L613" s="634">
        <f>IF(A606&lt;=$F$3,C613+F613-I613,0)</f>
        <v>0</v>
      </c>
      <c r="M613" s="598">
        <f>IF(A606&lt;=$F$3,D613+G613-J613,0)</f>
        <v>0</v>
      </c>
      <c r="N613" s="598">
        <f>IF(A606&lt;=$F$3,E613+H613-K613,0)</f>
        <v>0</v>
      </c>
      <c r="O613" s="635">
        <f>IF(A606&lt;=$F$3,F613*Q613+G613*R613+H613*S613,0)</f>
        <v>0</v>
      </c>
      <c r="P613" s="636">
        <f>IF(A606&lt;=$F$3,I613*Q613+J613*R613+K613*S613,0)</f>
        <v>0</v>
      </c>
      <c r="Q613" s="637">
        <f t="shared" si="211"/>
        <v>181536.36363636365</v>
      </c>
      <c r="R613" s="638">
        <f t="shared" si="211"/>
        <v>250869.20727272728</v>
      </c>
      <c r="S613" s="639">
        <f t="shared" si="211"/>
        <v>264480.11636363639</v>
      </c>
      <c r="T613" s="637">
        <f>L613*$AH$6*AD$17</f>
        <v>0</v>
      </c>
      <c r="U613" s="640" t="e">
        <f>$AH$6*(1-AE$16)*((1+HLOOKUP($A$481,FC_Premissas!$D$5:$W$16,14,FALSE)^0.0833-1))*L613*12</f>
        <v>#REF!</v>
      </c>
      <c r="V613" s="638">
        <f>M613*$AP$6*AL$17</f>
        <v>0</v>
      </c>
      <c r="W613" s="669" t="e">
        <f>$AP$6*(1-AM$16)*((1+HLOOKUP($A$481,FC_Premissas!$D$5:$W$16,14,FALSE))^0.0833-1)*M613*12</f>
        <v>#REF!</v>
      </c>
      <c r="X613" s="637">
        <f>N613*$AX$6*AT$17</f>
        <v>0</v>
      </c>
      <c r="Y613" s="640" t="e">
        <f>$AX$6*(1-AU$16)*((1+HLOOKUP($A$481,FC_Premissas!$D$5:$W$16,14,FALSE))^0.0833-1)*N613*12</f>
        <v>#REF!</v>
      </c>
      <c r="Z613" s="638">
        <f t="shared" si="212"/>
        <v>0</v>
      </c>
      <c r="AA613" s="669" t="e">
        <f t="shared" si="212"/>
        <v>#REF!</v>
      </c>
      <c r="AB613" s="641"/>
    </row>
    <row r="614" spans="1:28" hidden="1" x14ac:dyDescent="0.2">
      <c r="A614" s="984"/>
      <c r="B614" s="633">
        <v>6</v>
      </c>
      <c r="C614" s="634">
        <f>IF(A606&lt;=$F$3,L588,0)</f>
        <v>0</v>
      </c>
      <c r="D614" s="598">
        <f>IF(A606&lt;=$F$3,M588,0)</f>
        <v>0</v>
      </c>
      <c r="E614" s="598">
        <f>IF(A606&lt;=$F$3,N588,0)</f>
        <v>0</v>
      </c>
      <c r="F614" s="679"/>
      <c r="G614" s="680"/>
      <c r="H614" s="680"/>
      <c r="I614" s="679"/>
      <c r="J614" s="680"/>
      <c r="K614" s="680"/>
      <c r="L614" s="634">
        <f>IF(A606&lt;=$F$3,C614+F614-I614,0)</f>
        <v>0</v>
      </c>
      <c r="M614" s="598">
        <f>IF(A606&lt;=$F$3,D614+G614-J614,0)</f>
        <v>0</v>
      </c>
      <c r="N614" s="598">
        <f>IF(A606&lt;=$F$3,E614+H614-K614,0)</f>
        <v>0</v>
      </c>
      <c r="O614" s="635">
        <f>IF(A606&lt;=$F$3,F614*Q614+G614*R614+H614*S614,0)</f>
        <v>0</v>
      </c>
      <c r="P614" s="636">
        <f>IF(A606&lt;=$F$3,I614*Q614+J614*R614+K614*S614,0)</f>
        <v>0</v>
      </c>
      <c r="Q614" s="637">
        <f t="shared" si="211"/>
        <v>138540.90909090912</v>
      </c>
      <c r="R614" s="638">
        <f t="shared" si="211"/>
        <v>194252.85818181818</v>
      </c>
      <c r="S614" s="639">
        <f t="shared" si="211"/>
        <v>204640.13090909092</v>
      </c>
      <c r="T614" s="637">
        <f>L614*$AH$6*AD$18</f>
        <v>0</v>
      </c>
      <c r="U614" s="640" t="e">
        <f>$AH$6*(1-AE$17)*((1+HLOOKUP($A$481,FC_Premissas!$D$5:$W$16,14,FALSE)^0.0833-1))*L614*12</f>
        <v>#REF!</v>
      </c>
      <c r="V614" s="638">
        <f>M614*$AP$6*AL$18</f>
        <v>0</v>
      </c>
      <c r="W614" s="669" t="e">
        <f>$AP$6*(1-AM$17)*((1+HLOOKUP($A$481,FC_Premissas!$D$5:$W$16,14,FALSE))^0.0833-1)*M614*12</f>
        <v>#REF!</v>
      </c>
      <c r="X614" s="637">
        <f>N614*$AX$6*AT$18</f>
        <v>0</v>
      </c>
      <c r="Y614" s="640" t="e">
        <f>$AX$6*(1-AU$17)*((1+HLOOKUP($A$481,FC_Premissas!$D$5:$W$16,14,FALSE))^0.0833-1)*N614*12</f>
        <v>#REF!</v>
      </c>
      <c r="Z614" s="638">
        <f t="shared" si="212"/>
        <v>0</v>
      </c>
      <c r="AA614" s="669" t="e">
        <f t="shared" si="212"/>
        <v>#REF!</v>
      </c>
      <c r="AB614" s="641"/>
    </row>
    <row r="615" spans="1:28" hidden="1" x14ac:dyDescent="0.2">
      <c r="A615" s="984"/>
      <c r="B615" s="633">
        <v>7</v>
      </c>
      <c r="C615" s="634">
        <f>IF(A606&lt;=$F$3,L589,0)</f>
        <v>0</v>
      </c>
      <c r="D615" s="598">
        <f>IF(A606&lt;=$F$3,M589,0)</f>
        <v>0</v>
      </c>
      <c r="E615" s="598">
        <f>IF(A606&lt;=$F$3,N589,0)</f>
        <v>0</v>
      </c>
      <c r="F615" s="679"/>
      <c r="G615" s="680"/>
      <c r="H615" s="680"/>
      <c r="I615" s="679"/>
      <c r="J615" s="680"/>
      <c r="K615" s="680"/>
      <c r="L615" s="634">
        <f>IF(A606&lt;=$F$3,C615+F615-I615,0)</f>
        <v>0</v>
      </c>
      <c r="M615" s="598">
        <f>IF(A606&lt;=$F$3,D615+G615-J615,0)</f>
        <v>0</v>
      </c>
      <c r="N615" s="598">
        <f>IF(A606&lt;=$F$3,E615+H615-K615,0)</f>
        <v>0</v>
      </c>
      <c r="O615" s="635">
        <f>IF(A606&lt;=$F$3,F615*Q615+G615*R615+H615*S615,0)</f>
        <v>0</v>
      </c>
      <c r="P615" s="636">
        <f>IF(A606&lt;=$F$3,I615*Q615+J615*R615+K615*S615,0)</f>
        <v>0</v>
      </c>
      <c r="Q615" s="637">
        <f t="shared" si="211"/>
        <v>104144.54545454548</v>
      </c>
      <c r="R615" s="638">
        <f t="shared" si="211"/>
        <v>148959.77890909094</v>
      </c>
      <c r="S615" s="639">
        <f t="shared" si="211"/>
        <v>156768.14254545458</v>
      </c>
      <c r="T615" s="637">
        <f>L615*$AH$6*AD$19</f>
        <v>0</v>
      </c>
      <c r="U615" s="640" t="e">
        <f>$AH$6*(1-AE$18)*((1+HLOOKUP($A$481,FC_Premissas!$D$5:$W$16,14,FALSE)^0.0833-1))*L615*12</f>
        <v>#REF!</v>
      </c>
      <c r="V615" s="638">
        <f>M615*$AP$6*AL$19</f>
        <v>0</v>
      </c>
      <c r="W615" s="669" t="e">
        <f>$AP$6*(1-AM$18)*((1+HLOOKUP($A$481,FC_Premissas!$D$5:$W$16,14,FALSE))^0.0833-1)*M615*12</f>
        <v>#REF!</v>
      </c>
      <c r="X615" s="637">
        <f>N615*$AX$6*AT$19</f>
        <v>0</v>
      </c>
      <c r="Y615" s="640" t="e">
        <f>$AX$6*(1-AU$18)*((1+HLOOKUP($A$481,FC_Premissas!$D$5:$W$16,14,FALSE))^0.0833-1)*N615*12</f>
        <v>#REF!</v>
      </c>
      <c r="Z615" s="638">
        <f t="shared" si="212"/>
        <v>0</v>
      </c>
      <c r="AA615" s="669" t="e">
        <f t="shared" si="212"/>
        <v>#REF!</v>
      </c>
      <c r="AB615" s="641"/>
    </row>
    <row r="616" spans="1:28" hidden="1" x14ac:dyDescent="0.2">
      <c r="A616" s="984"/>
      <c r="B616" s="633">
        <v>8</v>
      </c>
      <c r="C616" s="634">
        <f>IF(A606&lt;=$F$3,L590,0)</f>
        <v>0</v>
      </c>
      <c r="D616" s="598">
        <f>IF(A606&lt;=$F$3,M590,0)</f>
        <v>0</v>
      </c>
      <c r="E616" s="598">
        <f>IF(A606&lt;=$F$3,N590,0)</f>
        <v>0</v>
      </c>
      <c r="F616" s="679"/>
      <c r="G616" s="680"/>
      <c r="H616" s="680"/>
      <c r="I616" s="679"/>
      <c r="J616" s="680"/>
      <c r="K616" s="680"/>
      <c r="L616" s="634">
        <f>IF(A606&lt;=$F$3,C616+F616-I616,0)</f>
        <v>0</v>
      </c>
      <c r="M616" s="598">
        <f>IF(A606&lt;=$F$3,D616+G616-J616,0)</f>
        <v>0</v>
      </c>
      <c r="N616" s="598">
        <f>IF(A606&lt;=$F$3,E616+H616-K616,0)</f>
        <v>0</v>
      </c>
      <c r="O616" s="635">
        <f>IF(A606&lt;=$F$3,F616*Q616+G616*R616+H616*S616,0)</f>
        <v>0</v>
      </c>
      <c r="P616" s="636">
        <f>IF(A606&lt;=$F$3,I616*Q616+J616*R616+K616*S616,0)</f>
        <v>0</v>
      </c>
      <c r="Q616" s="637">
        <f t="shared" si="211"/>
        <v>78347.272727272764</v>
      </c>
      <c r="R616" s="638">
        <f t="shared" si="211"/>
        <v>114989.9694545455</v>
      </c>
      <c r="S616" s="639">
        <f t="shared" si="211"/>
        <v>120864.15127272732</v>
      </c>
      <c r="T616" s="637">
        <f>L616*$AH$6*AD$20</f>
        <v>0</v>
      </c>
      <c r="U616" s="640" t="e">
        <f>$AH$6*(1-AE$19)*((1+HLOOKUP($A$481,FC_Premissas!$D$5:$W$16,14,FALSE)^0.0833-1))*L616*12</f>
        <v>#REF!</v>
      </c>
      <c r="V616" s="638">
        <f>M616*$AP$6*AL$20</f>
        <v>0</v>
      </c>
      <c r="W616" s="669" t="e">
        <f>$AP$6*(1-AM$19)*((1+HLOOKUP($A$481,FC_Premissas!$D$5:$W$16,14,FALSE))^0.0833-1)*M616*12</f>
        <v>#REF!</v>
      </c>
      <c r="X616" s="637">
        <f>N616*$AX$6*AT$20</f>
        <v>0</v>
      </c>
      <c r="Y616" s="640" t="e">
        <f>$AX$6*(1-AU$19)*((1+HLOOKUP($A$481,FC_Premissas!$D$5:$W$16,14,FALSE))^0.0833-1)*N616*12</f>
        <v>#REF!</v>
      </c>
      <c r="Z616" s="638">
        <f t="shared" si="212"/>
        <v>0</v>
      </c>
      <c r="AA616" s="669" t="e">
        <f t="shared" si="212"/>
        <v>#REF!</v>
      </c>
      <c r="AB616" s="641"/>
    </row>
    <row r="617" spans="1:28" hidden="1" x14ac:dyDescent="0.2">
      <c r="A617" s="984"/>
      <c r="B617" s="633">
        <v>9</v>
      </c>
      <c r="C617" s="634">
        <f>IF(A606&lt;=$F$3,L591,0)</f>
        <v>0</v>
      </c>
      <c r="D617" s="598">
        <f>IF(A606&lt;=$F$3,M591,0)</f>
        <v>0</v>
      </c>
      <c r="E617" s="598">
        <f>IF(A606&lt;=$F$3,N591,0)</f>
        <v>0</v>
      </c>
      <c r="F617" s="679"/>
      <c r="G617" s="680"/>
      <c r="H617" s="680"/>
      <c r="I617" s="679"/>
      <c r="J617" s="680"/>
      <c r="K617" s="680"/>
      <c r="L617" s="634">
        <f>IF(A606&lt;=$F$3,C617+F617-I617,0)</f>
        <v>0</v>
      </c>
      <c r="M617" s="598">
        <f>IF(A606&lt;=$F$3,D617+G617-J617,0)</f>
        <v>0</v>
      </c>
      <c r="N617" s="598">
        <f>IF(A606&lt;=$F$3,E617+H617-K617,0)</f>
        <v>0</v>
      </c>
      <c r="O617" s="635">
        <f>IF(A606&lt;=$F$3,F617*Q617+G617*R617+H617*S617,0)</f>
        <v>0</v>
      </c>
      <c r="P617" s="636">
        <f>IF(A606&lt;=$F$3,I617*Q617+J617*R617+K617*S617,0)</f>
        <v>0</v>
      </c>
      <c r="Q617" s="637">
        <f t="shared" si="211"/>
        <v>61149.090909090955</v>
      </c>
      <c r="R617" s="638">
        <f t="shared" si="211"/>
        <v>92343.429818181874</v>
      </c>
      <c r="S617" s="639">
        <f t="shared" si="211"/>
        <v>96928.157090909139</v>
      </c>
      <c r="T617" s="637">
        <f>L617*$AH$6*AD$21</f>
        <v>0</v>
      </c>
      <c r="U617" s="640" t="e">
        <f>$AH$6*(1-AE$20)*((1+HLOOKUP($A$481,FC_Premissas!$D$5:$W$16,14,FALSE)^0.0833-1))*L617*12</f>
        <v>#REF!</v>
      </c>
      <c r="V617" s="638">
        <f>M617*$AP$6*AL$21</f>
        <v>0</v>
      </c>
      <c r="W617" s="669" t="e">
        <f>$AP$6*(1-AM$20)*((1+HLOOKUP($A$481,FC_Premissas!$D$5:$W$16,14,FALSE))^0.0833-1)*M617*12</f>
        <v>#REF!</v>
      </c>
      <c r="X617" s="637">
        <f>N617*$AX$6*AT$21</f>
        <v>0</v>
      </c>
      <c r="Y617" s="640" t="e">
        <f>$AX$6*(1-AU$20)*((1+HLOOKUP($A$481,FC_Premissas!$D$5:$W$16,14,FALSE))^0.0833-1)*N617*12</f>
        <v>#REF!</v>
      </c>
      <c r="Z617" s="638">
        <f t="shared" si="212"/>
        <v>0</v>
      </c>
      <c r="AA617" s="669" t="e">
        <f t="shared" si="212"/>
        <v>#REF!</v>
      </c>
      <c r="AB617" s="641"/>
    </row>
    <row r="618" spans="1:28" hidden="1" x14ac:dyDescent="0.2">
      <c r="A618" s="984"/>
      <c r="B618" s="633">
        <v>10</v>
      </c>
      <c r="C618" s="634">
        <f>IF(A606&lt;=$F$3,L592,0)</f>
        <v>0</v>
      </c>
      <c r="D618" s="598">
        <f>IF(A606&lt;=$F$3,M592,0)</f>
        <v>0</v>
      </c>
      <c r="E618" s="598">
        <f>IF(A606&lt;=$F$3,N592,0)</f>
        <v>0</v>
      </c>
      <c r="F618" s="679"/>
      <c r="G618" s="680"/>
      <c r="H618" s="680"/>
      <c r="I618" s="679"/>
      <c r="J618" s="680"/>
      <c r="K618" s="680"/>
      <c r="L618" s="634">
        <f>IF(A606&lt;=$F$3,C618+F618-I618,0)</f>
        <v>0</v>
      </c>
      <c r="M618" s="598">
        <f>IF(A606&lt;=$F$3,D618+G618-J618,0)</f>
        <v>0</v>
      </c>
      <c r="N618" s="598">
        <f>IF(A606&lt;=$F$3,E618+H618-K618,0)</f>
        <v>0</v>
      </c>
      <c r="O618" s="635">
        <f>IF(A606&lt;=$F$3,F618*Q618+G618*R618+H618*S618,0)</f>
        <v>0</v>
      </c>
      <c r="P618" s="636">
        <f>IF(A606&lt;=$F$3,I618*Q618+J618*R618+K618*S618,0)</f>
        <v>0</v>
      </c>
      <c r="Q618" s="637">
        <f t="shared" si="211"/>
        <v>52550.000000000044</v>
      </c>
      <c r="R618" s="638">
        <f t="shared" si="211"/>
        <v>81020.160000000062</v>
      </c>
      <c r="S618" s="639">
        <f t="shared" si="211"/>
        <v>84960.160000000062</v>
      </c>
      <c r="T618" s="637">
        <f>L618*$AH$6*AD$22</f>
        <v>0</v>
      </c>
      <c r="U618" s="640" t="e">
        <f>$AH$6*(1-AE$21)*((1+HLOOKUP($A$481,FC_Premissas!$D$5:$W$16,14,FALSE)^0.0833-1))*L618*12</f>
        <v>#REF!</v>
      </c>
      <c r="V618" s="638">
        <f>M618*$AP$6*AL$22</f>
        <v>0</v>
      </c>
      <c r="W618" s="669" t="e">
        <f>$AP$6*(1-AM$21)*((1+HLOOKUP($A$481,FC_Premissas!$D$5:$W$16,14,FALSE))^0.0833-1)*M618*12</f>
        <v>#REF!</v>
      </c>
      <c r="X618" s="637">
        <f>N618*$AX$6*AT$22</f>
        <v>0</v>
      </c>
      <c r="Y618" s="640" t="e">
        <f>$AX$6*(1-AU$21)*((1+HLOOKUP($A$481,FC_Premissas!$D$5:$W$16,14,FALSE))^0.0833-1)*N618*12</f>
        <v>#REF!</v>
      </c>
      <c r="Z618" s="638">
        <f t="shared" si="212"/>
        <v>0</v>
      </c>
      <c r="AA618" s="669" t="e">
        <f t="shared" si="212"/>
        <v>#REF!</v>
      </c>
      <c r="AB618" s="641"/>
    </row>
    <row r="619" spans="1:28" hidden="1" x14ac:dyDescent="0.2">
      <c r="A619" s="984"/>
      <c r="B619" s="633">
        <v>11</v>
      </c>
      <c r="C619" s="634">
        <f>IF(A606&lt;=$F$3,L593,0)</f>
        <v>0</v>
      </c>
      <c r="D619" s="598">
        <f>IF(A606&lt;=$F$3,M593,0)</f>
        <v>0</v>
      </c>
      <c r="E619" s="598">
        <f>IF(A606&lt;=$F$3,N593,0)</f>
        <v>0</v>
      </c>
      <c r="F619" s="679"/>
      <c r="G619" s="680"/>
      <c r="H619" s="680"/>
      <c r="I619" s="679"/>
      <c r="J619" s="680"/>
      <c r="K619" s="680"/>
      <c r="L619" s="634">
        <f>IF(A606&lt;=$F$3,C619+F619-I619,0)</f>
        <v>0</v>
      </c>
      <c r="M619" s="598">
        <f>IF(A606&lt;=$F$3,D619+G619-J619,0)</f>
        <v>0</v>
      </c>
      <c r="N619" s="598">
        <f>IF(A606&lt;=$F$3,E619+H619-K619,0)</f>
        <v>0</v>
      </c>
      <c r="O619" s="635">
        <f>IF(A606&lt;=$F$3,F619*Q619+G619*R619+H619*S619,0)</f>
        <v>0</v>
      </c>
      <c r="P619" s="636">
        <f>IF(A606&lt;=$F$3,I619*Q619+J619*R619+K619*S619,0)</f>
        <v>0</v>
      </c>
      <c r="Q619" s="637">
        <f t="shared" si="211"/>
        <v>52550.000000000044</v>
      </c>
      <c r="R619" s="638">
        <f t="shared" si="211"/>
        <v>81020.160000000062</v>
      </c>
      <c r="S619" s="639">
        <f t="shared" si="211"/>
        <v>84960.160000000062</v>
      </c>
      <c r="T619" s="637">
        <f>L619*$AH$6*AD$23</f>
        <v>0</v>
      </c>
      <c r="U619" s="640" t="e">
        <f>$AH$6*(1-AE$22)*((1+HLOOKUP($A$481,FC_Premissas!$D$5:$W$16,14,FALSE)^0.0833-1))*L619*12</f>
        <v>#REF!</v>
      </c>
      <c r="V619" s="638">
        <f>M619*$AP$6*AL$23</f>
        <v>0</v>
      </c>
      <c r="W619" s="669" t="e">
        <f>$AP$6*(1-AM$22)*((1+HLOOKUP($A$481,FC_Premissas!$D$5:$W$16,14,FALSE))^0.0833-1)*M619*12</f>
        <v>#REF!</v>
      </c>
      <c r="X619" s="637">
        <f>N619*$AX$6*AT$23</f>
        <v>0</v>
      </c>
      <c r="Y619" s="640" t="e">
        <f>$AX$6*(1-AU$22)*((1+HLOOKUP($A$481,FC_Premissas!$D$5:$W$16,14,FALSE))^0.0833-1)*N619*12</f>
        <v>#REF!</v>
      </c>
      <c r="Z619" s="638">
        <f t="shared" si="212"/>
        <v>0</v>
      </c>
      <c r="AA619" s="669" t="e">
        <f t="shared" si="212"/>
        <v>#REF!</v>
      </c>
      <c r="AB619" s="641"/>
    </row>
    <row r="620" spans="1:28" hidden="1" x14ac:dyDescent="0.2">
      <c r="A620" s="984"/>
      <c r="B620" s="633">
        <v>12</v>
      </c>
      <c r="C620" s="634">
        <f>IF(A606&lt;=$F$3,L594,0)</f>
        <v>0</v>
      </c>
      <c r="D620" s="598">
        <f>IF(A606&lt;=$F$3,M594,0)</f>
        <v>0</v>
      </c>
      <c r="E620" s="598">
        <f>IF(A606&lt;=$F$3,N594,0)</f>
        <v>0</v>
      </c>
      <c r="F620" s="679"/>
      <c r="G620" s="680"/>
      <c r="H620" s="680"/>
      <c r="I620" s="679"/>
      <c r="J620" s="680"/>
      <c r="K620" s="680"/>
      <c r="L620" s="634">
        <f>IF(A606&lt;=$F$3,C620+F620-I620,0)</f>
        <v>0</v>
      </c>
      <c r="M620" s="598">
        <f>IF(A606&lt;=$F$3,D620+G620-J620,0)</f>
        <v>0</v>
      </c>
      <c r="N620" s="598">
        <f>IF(A606&lt;=$F$3,E620+H620-K620,0)</f>
        <v>0</v>
      </c>
      <c r="O620" s="635">
        <f>IF(A606&lt;=$F$3,F620*Q620+G620*R620+H620*S620,0)</f>
        <v>0</v>
      </c>
      <c r="P620" s="636">
        <f>IF(A606&lt;=$F$3,I620*Q620+J620*R620+K620*S620,0)</f>
        <v>0</v>
      </c>
      <c r="Q620" s="637">
        <f t="shared" si="211"/>
        <v>52550.000000000044</v>
      </c>
      <c r="R620" s="638">
        <f t="shared" si="211"/>
        <v>81020.160000000062</v>
      </c>
      <c r="S620" s="639">
        <f t="shared" si="211"/>
        <v>84960.160000000062</v>
      </c>
      <c r="T620" s="637">
        <f>L620*$AH$6*AD$24</f>
        <v>0</v>
      </c>
      <c r="U620" s="640" t="e">
        <f>$AH$6*(1-AE$23)*((1+HLOOKUP($A$481,FC_Premissas!$D$5:$W$16,14,FALSE)^0.0833-1))*L620*12</f>
        <v>#REF!</v>
      </c>
      <c r="V620" s="638">
        <f>M620*$AP$6*AL$24</f>
        <v>0</v>
      </c>
      <c r="W620" s="669" t="e">
        <f>$AP$6*(1-AM$23)*((1+HLOOKUP($A$481,FC_Premissas!$D$5:$W$16,14,FALSE))^0.0833-1)*M620*12</f>
        <v>#REF!</v>
      </c>
      <c r="X620" s="637">
        <f>N620*$AX$6*AT$24</f>
        <v>0</v>
      </c>
      <c r="Y620" s="640" t="e">
        <f>$AX$6*(1-AU$23)*((1+HLOOKUP($A$481,FC_Premissas!$D$5:$W$16,14,FALSE))^0.0833-1)*N620*12</f>
        <v>#REF!</v>
      </c>
      <c r="Z620" s="638">
        <f t="shared" si="212"/>
        <v>0</v>
      </c>
      <c r="AA620" s="669" t="e">
        <f t="shared" si="212"/>
        <v>#REF!</v>
      </c>
      <c r="AB620" s="641"/>
    </row>
    <row r="621" spans="1:28" ht="11.25" hidden="1" customHeight="1" x14ac:dyDescent="0.2">
      <c r="A621" s="984"/>
      <c r="B621" s="633">
        <v>13</v>
      </c>
      <c r="C621" s="634">
        <f>IF(A606&lt;=$F$3,L595,0)</f>
        <v>0</v>
      </c>
      <c r="D621" s="598">
        <f>IF(A606&lt;=$F$3,M595,0)</f>
        <v>0</v>
      </c>
      <c r="E621" s="650">
        <f>IF(A606&lt;=$F$3,N595,0)</f>
        <v>0</v>
      </c>
      <c r="F621" s="634"/>
      <c r="G621" s="598"/>
      <c r="H621" s="598"/>
      <c r="I621" s="634"/>
      <c r="J621" s="598"/>
      <c r="K621" s="598"/>
      <c r="L621" s="634">
        <f>IF(A606&lt;=$F$3,C621+F621-I621,0)</f>
        <v>0</v>
      </c>
      <c r="M621" s="598">
        <f>IF(A606&lt;=$F$3,D621+G621-J621,0)</f>
        <v>0</v>
      </c>
      <c r="N621" s="598">
        <f>IF(A606&lt;=$F$3,E621+H621-K621,0)</f>
        <v>0</v>
      </c>
      <c r="O621" s="635">
        <f>IF(A606&lt;=$F$3,F621*Q621+G621*R621+H621*S621,0)</f>
        <v>0</v>
      </c>
      <c r="P621" s="636">
        <f>IF(A606&lt;=$F$3,I621*Q621+J621*R621+K621*S621,0)</f>
        <v>0</v>
      </c>
      <c r="Q621" s="637">
        <f t="shared" si="211"/>
        <v>52550.000000000044</v>
      </c>
      <c r="R621" s="638">
        <f t="shared" si="211"/>
        <v>81020.160000000062</v>
      </c>
      <c r="S621" s="639">
        <f t="shared" si="211"/>
        <v>84960.160000000062</v>
      </c>
      <c r="T621" s="637">
        <f>L621*$AH$6*AD$25</f>
        <v>0</v>
      </c>
      <c r="U621" s="640" t="e">
        <f>$AH$6*(1-AE$24)*((1+HLOOKUP($A$481,FC_Premissas!$D$5:$W$16,14,FALSE)^0.0833-1))*L621*12</f>
        <v>#REF!</v>
      </c>
      <c r="V621" s="638">
        <f>M621*$AP$6*AL$25</f>
        <v>0</v>
      </c>
      <c r="W621" s="669" t="e">
        <f>$AP$6*(1-AM$24)*((1+HLOOKUP($A$481,FC_Premissas!$D$5:$W$16,14,FALSE))^0.0833-1)*M621*12</f>
        <v>#REF!</v>
      </c>
      <c r="X621" s="637">
        <f>N621*$AX$6*AT$25</f>
        <v>0</v>
      </c>
      <c r="Y621" s="640" t="e">
        <f>$AX$6*(1-AU$24)*((1+HLOOKUP($A$481,FC_Premissas!$D$5:$W$16,14,FALSE))^0.0833-1)*N621*12</f>
        <v>#REF!</v>
      </c>
      <c r="Z621" s="638">
        <f t="shared" si="212"/>
        <v>0</v>
      </c>
      <c r="AA621" s="669" t="e">
        <f t="shared" si="212"/>
        <v>#REF!</v>
      </c>
      <c r="AB621" s="641"/>
    </row>
    <row r="622" spans="1:28" ht="11.25" hidden="1" customHeight="1" x14ac:dyDescent="0.2">
      <c r="A622" s="984"/>
      <c r="B622" s="633">
        <v>14</v>
      </c>
      <c r="C622" s="634">
        <f>IF(A606&lt;=$F$3,L596,0)</f>
        <v>0</v>
      </c>
      <c r="D622" s="598">
        <f>IF(A606&lt;=$F$3,M596,0)</f>
        <v>0</v>
      </c>
      <c r="E622" s="650">
        <f>IF(A606&lt;=$F$3,N596,0)</f>
        <v>0</v>
      </c>
      <c r="F622" s="634"/>
      <c r="G622" s="598"/>
      <c r="H622" s="598"/>
      <c r="I622" s="634"/>
      <c r="J622" s="598"/>
      <c r="K622" s="598"/>
      <c r="L622" s="634">
        <f>IF(A606&lt;=$F$3,C622+F622-I622,0)</f>
        <v>0</v>
      </c>
      <c r="M622" s="598">
        <f>IF(A606&lt;=$F$3,D622+G622-J622,0)</f>
        <v>0</v>
      </c>
      <c r="N622" s="598">
        <f>IF(A606&lt;=$F$3,E622+H622-K622,0)</f>
        <v>0</v>
      </c>
      <c r="O622" s="635">
        <f>IF(A606&lt;=$F$3,F622*Q622+G622*R622+H622*S622,0)</f>
        <v>0</v>
      </c>
      <c r="P622" s="636">
        <f>IF(A606&lt;=$F$3,I622*Q622+J622*R622+K622*S622,0)</f>
        <v>0</v>
      </c>
      <c r="Q622" s="637">
        <f t="shared" si="211"/>
        <v>52550.000000000044</v>
      </c>
      <c r="R622" s="638">
        <f t="shared" si="211"/>
        <v>81020.160000000062</v>
      </c>
      <c r="S622" s="639">
        <f t="shared" si="211"/>
        <v>84960.160000000062</v>
      </c>
      <c r="T622" s="637">
        <f>L622*$AH$6*AD$26</f>
        <v>0</v>
      </c>
      <c r="U622" s="640" t="e">
        <f>$AH$6*(1-AE$25)*((1+HLOOKUP($A$481,FC_Premissas!$D$5:$W$16,14,FALSE)^0.0833-1))*L622*12</f>
        <v>#REF!</v>
      </c>
      <c r="V622" s="638">
        <f>M622*$AP$6*AL$26</f>
        <v>0</v>
      </c>
      <c r="W622" s="669" t="e">
        <f>$AP$6*(1-AM$25)*((1+HLOOKUP($A$481,FC_Premissas!$D$5:$W$16,14,FALSE))^0.0833-1)*M622*12</f>
        <v>#REF!</v>
      </c>
      <c r="X622" s="637">
        <f>N622*$AX$6*AT$26</f>
        <v>0</v>
      </c>
      <c r="Y622" s="640" t="e">
        <f>$AX$6*(1-AU$25)*((1+HLOOKUP($A$481,FC_Premissas!$D$5:$W$16,14,FALSE))^0.0833-1)*N622*12</f>
        <v>#REF!</v>
      </c>
      <c r="Z622" s="638">
        <f t="shared" si="212"/>
        <v>0</v>
      </c>
      <c r="AA622" s="669" t="e">
        <f t="shared" si="212"/>
        <v>#REF!</v>
      </c>
      <c r="AB622" s="641"/>
    </row>
    <row r="623" spans="1:28" ht="11.25" hidden="1" customHeight="1" x14ac:dyDescent="0.2">
      <c r="A623" s="984"/>
      <c r="B623" s="633">
        <v>15</v>
      </c>
      <c r="C623" s="634">
        <f>IF(A606&lt;=$F$3,L597,0)</f>
        <v>0</v>
      </c>
      <c r="D623" s="598">
        <f>IF(A606&lt;=$F$3,M597,0)</f>
        <v>0</v>
      </c>
      <c r="E623" s="650">
        <f>IF(A606&lt;=$F$3,N597,0)</f>
        <v>0</v>
      </c>
      <c r="F623" s="634"/>
      <c r="G623" s="598"/>
      <c r="H623" s="598"/>
      <c r="I623" s="634"/>
      <c r="J623" s="598"/>
      <c r="K623" s="598"/>
      <c r="L623" s="634">
        <f>IF(A606&lt;=$F$3,C623+F623-I623,0)</f>
        <v>0</v>
      </c>
      <c r="M623" s="598">
        <f>IF(A606&lt;=$F$3,D623+G623-J623,0)</f>
        <v>0</v>
      </c>
      <c r="N623" s="598">
        <f>IF(A606&lt;=$F$3,E623+H623-K623,0)</f>
        <v>0</v>
      </c>
      <c r="O623" s="635">
        <f>IF(A606&lt;=$F$3,F623*Q623+G623*R623+H623*S623,0)</f>
        <v>0</v>
      </c>
      <c r="P623" s="636">
        <f>IF(A606&lt;=$F$3,I623*Q623+J623*R623+K623*S623,0)</f>
        <v>0</v>
      </c>
      <c r="Q623" s="637">
        <f t="shared" si="211"/>
        <v>52550.000000000044</v>
      </c>
      <c r="R623" s="638">
        <f t="shared" si="211"/>
        <v>81020.160000000062</v>
      </c>
      <c r="S623" s="639">
        <f t="shared" si="211"/>
        <v>84960.160000000062</v>
      </c>
      <c r="T623" s="637">
        <f t="shared" ref="T623:T628" si="213">L623*$AH$6*AD$27</f>
        <v>0</v>
      </c>
      <c r="U623" s="640" t="e">
        <f>$AH$6*(1-AE$26)*((1+HLOOKUP($A$481,FC_Premissas!$D$5:$W$16,14,FALSE)^0.0833-1))*L623*12</f>
        <v>#REF!</v>
      </c>
      <c r="V623" s="638">
        <f t="shared" ref="V623:V628" si="214">M623*$AP$6*AL$27</f>
        <v>0</v>
      </c>
      <c r="W623" s="669" t="e">
        <f>$AP$6*(1-AM$26)*((1+HLOOKUP($A$481,FC_Premissas!$D$5:$W$16,14,FALSE))^0.0833-1)*M623*12</f>
        <v>#REF!</v>
      </c>
      <c r="X623" s="637">
        <f t="shared" ref="X623:X628" si="215">N623*$AX$6*AT$27</f>
        <v>0</v>
      </c>
      <c r="Y623" s="640" t="e">
        <f>$AX$6*(1-AU$26)*((1+HLOOKUP($A$481,FC_Premissas!$D$5:$W$16,14,FALSE))^0.0833-1)*N623*12</f>
        <v>#REF!</v>
      </c>
      <c r="Z623" s="638">
        <f t="shared" si="212"/>
        <v>0</v>
      </c>
      <c r="AA623" s="640" t="e">
        <f t="shared" si="212"/>
        <v>#REF!</v>
      </c>
      <c r="AB623" s="641"/>
    </row>
    <row r="624" spans="1:28" hidden="1" x14ac:dyDescent="0.2">
      <c r="A624" s="984"/>
      <c r="B624" s="633">
        <v>16</v>
      </c>
      <c r="C624" s="634">
        <f>IF(A606&lt;=$F$3,L598,0)</f>
        <v>0</v>
      </c>
      <c r="D624" s="598">
        <f>IF(A606&lt;=$F$3,M598,0)</f>
        <v>0</v>
      </c>
      <c r="E624" s="650">
        <f>IF(A606&lt;=$F$3,N598,0)</f>
        <v>0</v>
      </c>
      <c r="F624" s="634"/>
      <c r="G624" s="598"/>
      <c r="H624" s="598"/>
      <c r="I624" s="634"/>
      <c r="J624" s="598"/>
      <c r="K624" s="598"/>
      <c r="L624" s="634">
        <f>IF(A606&lt;=$F$3,C624+F624-I624,0)</f>
        <v>0</v>
      </c>
      <c r="M624" s="598">
        <f>IF(A606&lt;=$F$3,D624+G624-J624,0)</f>
        <v>0</v>
      </c>
      <c r="N624" s="598">
        <f>IF(A606&lt;=$F$3,E624+H624-K624,0)</f>
        <v>0</v>
      </c>
      <c r="O624" s="635">
        <f>IF(A606&lt;=$F$3,F624*Q624+G624*R624+H624*S624,0)</f>
        <v>0</v>
      </c>
      <c r="P624" s="636">
        <f>IF(A606&lt;=$F$3,I624*Q624+J624*R624+K624*S624,0)</f>
        <v>0</v>
      </c>
      <c r="Q624" s="637">
        <f t="shared" ref="Q624:S628" si="216">Q599</f>
        <v>52550.000000000044</v>
      </c>
      <c r="R624" s="638">
        <f t="shared" si="216"/>
        <v>81020.160000000062</v>
      </c>
      <c r="S624" s="639">
        <f t="shared" si="216"/>
        <v>84960.160000000062</v>
      </c>
      <c r="T624" s="637">
        <f t="shared" si="213"/>
        <v>0</v>
      </c>
      <c r="U624" s="640" t="e">
        <f>$AH$6*(1-AE$27)*((1+HLOOKUP($A$481,FC_Premissas!$D$5:$W$16,14,FALSE)^0.0833-1))*L624*12</f>
        <v>#REF!</v>
      </c>
      <c r="V624" s="638">
        <f t="shared" si="214"/>
        <v>0</v>
      </c>
      <c r="W624" s="669" t="e">
        <f>$AP$6*(1-AM$27)*((1+HLOOKUP($A$481,FC_Premissas!$D$5:$W$16,14,FALSE))^0.0833-1)*M624*12</f>
        <v>#REF!</v>
      </c>
      <c r="X624" s="637">
        <f t="shared" si="215"/>
        <v>0</v>
      </c>
      <c r="Y624" s="640" t="e">
        <f>$AX$6*(1-AU$27)*((1+HLOOKUP($A$481,FC_Premissas!$D$5:$W$16,14,FALSE))^0.0833-1)*N624*12</f>
        <v>#REF!</v>
      </c>
      <c r="Z624" s="638">
        <f t="shared" si="212"/>
        <v>0</v>
      </c>
      <c r="AA624" s="640" t="e">
        <f t="shared" si="212"/>
        <v>#REF!</v>
      </c>
      <c r="AB624" s="641"/>
    </row>
    <row r="625" spans="1:28" hidden="1" x14ac:dyDescent="0.2">
      <c r="A625" s="984"/>
      <c r="B625" s="633">
        <v>17</v>
      </c>
      <c r="C625" s="634">
        <f>IF(A606&lt;=$F$3,L599,0)</f>
        <v>0</v>
      </c>
      <c r="D625" s="598">
        <f>IF(A606&lt;=$F$3,M599,0)</f>
        <v>0</v>
      </c>
      <c r="E625" s="650">
        <f>IF(A606&lt;=$F$3,N599,0)</f>
        <v>0</v>
      </c>
      <c r="F625" s="634"/>
      <c r="G625" s="598"/>
      <c r="H625" s="598"/>
      <c r="I625" s="634"/>
      <c r="J625" s="598"/>
      <c r="K625" s="598"/>
      <c r="L625" s="634">
        <f>IF(A606&lt;=$F$3,C625+F625-I625,0)</f>
        <v>0</v>
      </c>
      <c r="M625" s="598">
        <f>IF(A606&lt;=$F$3,D625+G625-J625,0)</f>
        <v>0</v>
      </c>
      <c r="N625" s="598">
        <f>IF(A606&lt;=$F$3,E625+H625-K625,0)</f>
        <v>0</v>
      </c>
      <c r="O625" s="635">
        <f>IF(A606&lt;=$F$3,F625*Q625+G625*R625+H625*S625,0)</f>
        <v>0</v>
      </c>
      <c r="P625" s="636">
        <f>IF(A606&lt;=$F$3,I625*Q625+J625*R625+K625*S625,0)</f>
        <v>0</v>
      </c>
      <c r="Q625" s="637">
        <f t="shared" si="216"/>
        <v>52550.000000000044</v>
      </c>
      <c r="R625" s="638">
        <f t="shared" si="216"/>
        <v>81020.160000000062</v>
      </c>
      <c r="S625" s="639">
        <f t="shared" si="216"/>
        <v>84960.160000000062</v>
      </c>
      <c r="T625" s="637">
        <f t="shared" si="213"/>
        <v>0</v>
      </c>
      <c r="U625" s="640" t="e">
        <f>$AH$6*(1-AE$28)*((1+HLOOKUP($A$481,FC_Premissas!$D$5:$W$16,14,FALSE)^0.0833-1))*L625*12</f>
        <v>#REF!</v>
      </c>
      <c r="V625" s="638">
        <f t="shared" si="214"/>
        <v>0</v>
      </c>
      <c r="W625" s="669" t="e">
        <f>$AP$6*(1-AM$28)*((1+HLOOKUP($A$481,FC_Premissas!$D$5:$W$16,14,FALSE))^0.0833-1)*M625*12</f>
        <v>#REF!</v>
      </c>
      <c r="X625" s="637">
        <f t="shared" si="215"/>
        <v>0</v>
      </c>
      <c r="Y625" s="640" t="e">
        <f>$AX$6*(1-AU$28)*((1+HLOOKUP($A$481,FC_Premissas!$D$5:$W$16,14,FALSE))^0.0833-1)*N625*12</f>
        <v>#REF!</v>
      </c>
      <c r="Z625" s="638">
        <f t="shared" si="212"/>
        <v>0</v>
      </c>
      <c r="AA625" s="640" t="e">
        <f t="shared" si="212"/>
        <v>#REF!</v>
      </c>
      <c r="AB625" s="641"/>
    </row>
    <row r="626" spans="1:28" hidden="1" x14ac:dyDescent="0.2">
      <c r="A626" s="984"/>
      <c r="B626" s="633">
        <v>18</v>
      </c>
      <c r="C626" s="634">
        <f>IF(A606&lt;=$F$3,L600,0)</f>
        <v>0</v>
      </c>
      <c r="D626" s="598">
        <f>IF(A606&lt;=$F$3,M600,0)</f>
        <v>0</v>
      </c>
      <c r="E626" s="650">
        <f>IF(A606&lt;=$F$3,N600,0)</f>
        <v>0</v>
      </c>
      <c r="F626" s="634"/>
      <c r="G626" s="598"/>
      <c r="H626" s="598"/>
      <c r="I626" s="634"/>
      <c r="J626" s="598"/>
      <c r="K626" s="598"/>
      <c r="L626" s="634">
        <f>IF(A606&lt;=$F$3,C626+F626-I626,0)</f>
        <v>0</v>
      </c>
      <c r="M626" s="598">
        <f>IF(A606&lt;=$F$3,D626+G626-J626,0)</f>
        <v>0</v>
      </c>
      <c r="N626" s="598">
        <f>IF(A606&lt;=$F$3,E626+H626-K626,0)</f>
        <v>0</v>
      </c>
      <c r="O626" s="635">
        <f>IF(A606&lt;=$F$3,F626*Q626+G626*R626+H626*S626,0)</f>
        <v>0</v>
      </c>
      <c r="P626" s="636">
        <f>IF(A606&lt;=$F$3,I626*Q626+J626*R626+K626*S626,0)</f>
        <v>0</v>
      </c>
      <c r="Q626" s="637">
        <f t="shared" si="216"/>
        <v>52550.000000000044</v>
      </c>
      <c r="R626" s="638">
        <f t="shared" si="216"/>
        <v>81020.160000000062</v>
      </c>
      <c r="S626" s="639">
        <f t="shared" si="216"/>
        <v>84960.160000000062</v>
      </c>
      <c r="T626" s="637">
        <f t="shared" si="213"/>
        <v>0</v>
      </c>
      <c r="U626" s="640" t="e">
        <f>$AH$6*(1-AE$29)*((1+HLOOKUP($A$481,FC_Premissas!$D$5:$W$16,14,FALSE)^0.0833-1))*L626*12</f>
        <v>#REF!</v>
      </c>
      <c r="V626" s="638">
        <f t="shared" si="214"/>
        <v>0</v>
      </c>
      <c r="W626" s="669" t="e">
        <f>$AP$6*(1-AM$29)*((1+HLOOKUP($A$481,FC_Premissas!$D$5:$W$16,14,FALSE))^0.0833-1)*M626*12</f>
        <v>#REF!</v>
      </c>
      <c r="X626" s="637">
        <f t="shared" si="215"/>
        <v>0</v>
      </c>
      <c r="Y626" s="640" t="e">
        <f>$AX$6*(1-AU$29)*((1+HLOOKUP($A$481,FC_Premissas!$D$5:$W$16,14,FALSE))^0.0833-1)*N626*12</f>
        <v>#REF!</v>
      </c>
      <c r="Z626" s="638">
        <f t="shared" si="212"/>
        <v>0</v>
      </c>
      <c r="AA626" s="640" t="e">
        <f t="shared" si="212"/>
        <v>#REF!</v>
      </c>
      <c r="AB626" s="641"/>
    </row>
    <row r="627" spans="1:28" hidden="1" x14ac:dyDescent="0.2">
      <c r="A627" s="984"/>
      <c r="B627" s="633">
        <v>19</v>
      </c>
      <c r="C627" s="634">
        <f>IF(A606&lt;=$F$3,L601,0)</f>
        <v>0</v>
      </c>
      <c r="D627" s="598">
        <f>IF(A606&lt;=$F$3,M601,0)</f>
        <v>0</v>
      </c>
      <c r="E627" s="650">
        <f>IF(A606&lt;=$F$3,N601,0)</f>
        <v>0</v>
      </c>
      <c r="F627" s="634"/>
      <c r="G627" s="598"/>
      <c r="H627" s="598"/>
      <c r="I627" s="634"/>
      <c r="J627" s="598"/>
      <c r="K627" s="598"/>
      <c r="L627" s="634">
        <f>IF(A606&lt;=$F$3,C627+F627-I627,0)</f>
        <v>0</v>
      </c>
      <c r="M627" s="598">
        <f>IF(A606&lt;=$F$3,D627+G627-J627,0)</f>
        <v>0</v>
      </c>
      <c r="N627" s="598">
        <f>IF(A606&lt;=$F$3,E627+H627-K627,0)</f>
        <v>0</v>
      </c>
      <c r="O627" s="635">
        <f>IF(A606&lt;=$F$3,F627*Q627+G627*R627+H627*S627,0)</f>
        <v>0</v>
      </c>
      <c r="P627" s="636">
        <f>IF(A606&lt;=$F$3,I627*Q627+J627*R627+K627*S627,0)</f>
        <v>0</v>
      </c>
      <c r="Q627" s="637">
        <f t="shared" si="216"/>
        <v>52550.000000000044</v>
      </c>
      <c r="R627" s="638">
        <f t="shared" si="216"/>
        <v>81020.160000000062</v>
      </c>
      <c r="S627" s="639">
        <f t="shared" si="216"/>
        <v>84960.160000000062</v>
      </c>
      <c r="T627" s="637">
        <f t="shared" si="213"/>
        <v>0</v>
      </c>
      <c r="U627" s="640" t="e">
        <f>$AH$6*(1-AE$30)*((1+HLOOKUP($A$481,FC_Premissas!$D$5:$W$16,14,FALSE)^0.0833-1))*L627*12</f>
        <v>#REF!</v>
      </c>
      <c r="V627" s="638">
        <f t="shared" si="214"/>
        <v>0</v>
      </c>
      <c r="W627" s="669" t="e">
        <f>$AP$6*(1-AM$30)*((1+HLOOKUP($A$481,FC_Premissas!$D$5:$W$16,14,FALSE))^0.0833-1)*M627*12</f>
        <v>#REF!</v>
      </c>
      <c r="X627" s="637">
        <f t="shared" si="215"/>
        <v>0</v>
      </c>
      <c r="Y627" s="640" t="e">
        <f>$AX$6*(1-AU$30)*((1+HLOOKUP($A$481,FC_Premissas!$D$5:$W$16,14,FALSE))^0.0833-1)*N627*12</f>
        <v>#REF!</v>
      </c>
      <c r="Z627" s="638">
        <f t="shared" si="212"/>
        <v>0</v>
      </c>
      <c r="AA627" s="640" t="e">
        <f t="shared" si="212"/>
        <v>#REF!</v>
      </c>
      <c r="AB627" s="641"/>
    </row>
    <row r="628" spans="1:28" hidden="1" x14ac:dyDescent="0.2">
      <c r="A628" s="984"/>
      <c r="B628" s="633">
        <v>20</v>
      </c>
      <c r="C628" s="616">
        <f>IF(A606&lt;=$F$3,L602,0)</f>
        <v>0</v>
      </c>
      <c r="D628" s="617">
        <f>IF(A606&lt;=$F$3,M602,0)</f>
        <v>0</v>
      </c>
      <c r="E628" s="650">
        <f>IF(A606&lt;=$F$3,N602,0)</f>
        <v>0</v>
      </c>
      <c r="F628" s="616"/>
      <c r="G628" s="617"/>
      <c r="H628" s="598"/>
      <c r="I628" s="616"/>
      <c r="J628" s="617"/>
      <c r="K628" s="598"/>
      <c r="L628" s="616">
        <f>IF(A606&lt;=$F$3,C628+F628-I628,0)</f>
        <v>0</v>
      </c>
      <c r="M628" s="617">
        <f>IF(A606&lt;=$F$3,D628+G628-J628,0)</f>
        <v>0</v>
      </c>
      <c r="N628" s="598">
        <f>IF(A606&lt;=$F$3,E628+H628-K628,0)</f>
        <v>0</v>
      </c>
      <c r="O628" s="635">
        <f>IF(A606&lt;=$F$3,F628*Q628+G628*R628+H628*S628,0)</f>
        <v>0</v>
      </c>
      <c r="P628" s="636">
        <f>IF(A606&lt;=$F$3,I628*Q628+J628*R628+K628*S628,0)</f>
        <v>0</v>
      </c>
      <c r="Q628" s="651">
        <f t="shared" si="216"/>
        <v>52550.000000000044</v>
      </c>
      <c r="R628" s="652">
        <f t="shared" si="216"/>
        <v>81020.160000000062</v>
      </c>
      <c r="S628" s="653">
        <f t="shared" si="216"/>
        <v>84960.160000000062</v>
      </c>
      <c r="T628" s="651">
        <f t="shared" si="213"/>
        <v>0</v>
      </c>
      <c r="U628" s="654" t="e">
        <f>$AH$6*(1-AE$31)*((1+HLOOKUP($A$481,FC_Premissas!$D$5:$W$16,14,FALSE)^0.0833-1))*L628*12</f>
        <v>#REF!</v>
      </c>
      <c r="V628" s="652">
        <f t="shared" si="214"/>
        <v>0</v>
      </c>
      <c r="W628" s="678" t="e">
        <f>$AP$6*(1-AM$31)*((1+HLOOKUP($A$481,FC_Premissas!$D$5:$W$16,14,FALSE))^0.0833-1)*M628*12</f>
        <v>#REF!</v>
      </c>
      <c r="X628" s="651">
        <f t="shared" si="215"/>
        <v>0</v>
      </c>
      <c r="Y628" s="654" t="e">
        <f>$AX$6*(1-AU$31)*((1+HLOOKUP($A$481,FC_Premissas!$D$5:$W$16,14,FALSE))^0.0833-1)*N628*12</f>
        <v>#REF!</v>
      </c>
      <c r="Z628" s="652">
        <f t="shared" si="212"/>
        <v>0</v>
      </c>
      <c r="AA628" s="654" t="e">
        <f t="shared" si="212"/>
        <v>#REF!</v>
      </c>
      <c r="AB628" s="641"/>
    </row>
    <row r="629" spans="1:28" hidden="1" x14ac:dyDescent="0.2">
      <c r="A629" s="984"/>
      <c r="B629" s="655" t="s">
        <v>1228</v>
      </c>
      <c r="C629" s="656">
        <f t="shared" ref="C629:P629" si="217">SUM(C608:C628)</f>
        <v>0</v>
      </c>
      <c r="D629" s="657">
        <f t="shared" si="217"/>
        <v>0</v>
      </c>
      <c r="E629" s="658">
        <f t="shared" si="217"/>
        <v>0</v>
      </c>
      <c r="F629" s="656">
        <f t="shared" si="217"/>
        <v>0</v>
      </c>
      <c r="G629" s="657">
        <f t="shared" si="217"/>
        <v>0</v>
      </c>
      <c r="H629" s="658">
        <f t="shared" si="217"/>
        <v>0</v>
      </c>
      <c r="I629" s="656">
        <f t="shared" si="217"/>
        <v>0</v>
      </c>
      <c r="J629" s="657">
        <f t="shared" si="217"/>
        <v>0</v>
      </c>
      <c r="K629" s="658">
        <f t="shared" si="217"/>
        <v>0</v>
      </c>
      <c r="L629" s="656">
        <f t="shared" si="217"/>
        <v>0</v>
      </c>
      <c r="M629" s="657">
        <f t="shared" si="217"/>
        <v>0</v>
      </c>
      <c r="N629" s="657">
        <f t="shared" si="217"/>
        <v>0</v>
      </c>
      <c r="O629" s="659">
        <f t="shared" si="217"/>
        <v>0</v>
      </c>
      <c r="P629" s="660">
        <f t="shared" si="217"/>
        <v>0</v>
      </c>
      <c r="Q629" s="638"/>
      <c r="R629" s="638"/>
      <c r="S629" s="638"/>
      <c r="T629" s="661">
        <f t="shared" ref="T629:AA629" si="218">SUM(T608:T628)</f>
        <v>0</v>
      </c>
      <c r="U629" s="662" t="e">
        <f t="shared" si="218"/>
        <v>#REF!</v>
      </c>
      <c r="V629" s="663">
        <f t="shared" si="218"/>
        <v>0</v>
      </c>
      <c r="W629" s="662" t="e">
        <f t="shared" si="218"/>
        <v>#REF!</v>
      </c>
      <c r="X629" s="663">
        <f t="shared" si="218"/>
        <v>0</v>
      </c>
      <c r="Y629" s="662" t="e">
        <f t="shared" si="218"/>
        <v>#REF!</v>
      </c>
      <c r="Z629" s="663">
        <f t="shared" si="218"/>
        <v>0</v>
      </c>
      <c r="AA629" s="664" t="e">
        <f t="shared" si="218"/>
        <v>#REF!</v>
      </c>
      <c r="AB629" s="641"/>
    </row>
    <row r="630" spans="1:28" hidden="1" x14ac:dyDescent="0.2">
      <c r="A630" s="985"/>
      <c r="B630" s="977" t="s">
        <v>1229</v>
      </c>
      <c r="C630" s="977"/>
      <c r="D630" s="977"/>
      <c r="E630" s="666" t="e">
        <f>(L630*L629+M630*M629+N630*N629)/(L629+M629+N629)</f>
        <v>#DIV/0!</v>
      </c>
      <c r="F630" s="665" t="s">
        <v>140</v>
      </c>
      <c r="G630" s="665"/>
      <c r="H630" s="665"/>
      <c r="I630" s="665"/>
      <c r="J630" s="665"/>
      <c r="K630" s="665"/>
      <c r="L630" s="887">
        <f>IF(L629=0,0,(SUMPRODUCT(L608:L628,$B608:$B628)/L629))</f>
        <v>0</v>
      </c>
      <c r="M630" s="887">
        <f>IF(M629=0,0,(SUMPRODUCT(M608:M628,$B608:$B628)/M629))</f>
        <v>0</v>
      </c>
      <c r="N630" s="887">
        <f>IF(N629=0,0,ROUND(SUMPRODUCT(N608:N628,$B608:$B628)/N629,0))</f>
        <v>0</v>
      </c>
      <c r="O630" s="667"/>
      <c r="P630" s="668"/>
      <c r="Q630" s="638"/>
      <c r="R630" s="638"/>
      <c r="S630" s="638"/>
      <c r="T630" s="638"/>
      <c r="U630" s="669"/>
      <c r="V630" s="638"/>
      <c r="W630" s="669"/>
      <c r="X630" s="638"/>
      <c r="Y630" s="669"/>
      <c r="Z630" s="638"/>
      <c r="AA630" s="669"/>
    </row>
    <row r="631" spans="1:28" ht="12.75" customHeight="1" x14ac:dyDescent="0.2">
      <c r="A631" s="983" t="s">
        <v>1230</v>
      </c>
      <c r="B631" s="986" t="s">
        <v>1077</v>
      </c>
      <c r="C631" s="988" t="s">
        <v>1202</v>
      </c>
      <c r="D631" s="989"/>
      <c r="E631" s="990"/>
      <c r="F631" s="991" t="s">
        <v>1203</v>
      </c>
      <c r="G631" s="992"/>
      <c r="H631" s="993"/>
      <c r="I631" s="991" t="s">
        <v>1204</v>
      </c>
      <c r="J631" s="992"/>
      <c r="K631" s="993"/>
      <c r="L631" s="991" t="s">
        <v>1205</v>
      </c>
      <c r="M631" s="992"/>
      <c r="N631" s="992"/>
      <c r="O631" s="994" t="s">
        <v>1206</v>
      </c>
      <c r="P631" s="995"/>
      <c r="Q631" s="980" t="s">
        <v>1207</v>
      </c>
      <c r="R631" s="981"/>
      <c r="S631" s="982"/>
      <c r="T631" s="607" t="s">
        <v>1208</v>
      </c>
      <c r="U631" s="609" t="s">
        <v>1209</v>
      </c>
      <c r="V631" s="608" t="s">
        <v>1210</v>
      </c>
      <c r="W631" s="610" t="s">
        <v>1211</v>
      </c>
      <c r="X631" s="607" t="s">
        <v>1210</v>
      </c>
      <c r="Y631" s="609" t="s">
        <v>1211</v>
      </c>
      <c r="Z631" s="607" t="s">
        <v>1210</v>
      </c>
      <c r="AA631" s="609" t="s">
        <v>1211</v>
      </c>
    </row>
    <row r="632" spans="1:28" x14ac:dyDescent="0.2">
      <c r="A632" s="984"/>
      <c r="B632" s="987"/>
      <c r="C632" s="616" t="str">
        <f>$C$7</f>
        <v>Mini</v>
      </c>
      <c r="D632" s="617" t="str">
        <f>$D$7</f>
        <v>Midi</v>
      </c>
      <c r="E632" s="617" t="str">
        <f>$E$7</f>
        <v>Básico</v>
      </c>
      <c r="F632" s="616" t="str">
        <f>$C$7</f>
        <v>Mini</v>
      </c>
      <c r="G632" s="617" t="str">
        <f>$D$7</f>
        <v>Midi</v>
      </c>
      <c r="H632" s="617" t="str">
        <f>$E$7</f>
        <v>Básico</v>
      </c>
      <c r="I632" s="616" t="str">
        <f>$C$7</f>
        <v>Mini</v>
      </c>
      <c r="J632" s="617" t="str">
        <f>$D$7</f>
        <v>Midi</v>
      </c>
      <c r="K632" s="617" t="str">
        <f>$E$7</f>
        <v>Básico</v>
      </c>
      <c r="L632" s="616" t="str">
        <f>$C$7</f>
        <v>Mini</v>
      </c>
      <c r="M632" s="617" t="str">
        <f>$D$7</f>
        <v>Midi</v>
      </c>
      <c r="N632" s="617" t="str">
        <f>$E$7</f>
        <v>Básico</v>
      </c>
      <c r="O632" s="667" t="s">
        <v>1203</v>
      </c>
      <c r="P632" s="668" t="s">
        <v>1204</v>
      </c>
      <c r="Q632" s="620" t="str">
        <f>C632</f>
        <v>Mini</v>
      </c>
      <c r="R632" s="621" t="str">
        <f>D632</f>
        <v>Midi</v>
      </c>
      <c r="S632" s="622" t="str">
        <f>E632</f>
        <v>Básico</v>
      </c>
      <c r="T632" s="623" t="str">
        <f>C632</f>
        <v>Mini</v>
      </c>
      <c r="U632" s="624" t="str">
        <f>C632</f>
        <v>Mini</v>
      </c>
      <c r="V632" s="625" t="str">
        <f>D632</f>
        <v>Midi</v>
      </c>
      <c r="W632" s="626" t="str">
        <f>D632</f>
        <v>Midi</v>
      </c>
      <c r="X632" s="623" t="str">
        <f>E632</f>
        <v>Básico</v>
      </c>
      <c r="Y632" s="624" t="str">
        <f>E632</f>
        <v>Básico</v>
      </c>
      <c r="Z632" s="627" t="s">
        <v>1218</v>
      </c>
      <c r="AA632" s="628" t="s">
        <v>1218</v>
      </c>
    </row>
    <row r="633" spans="1:28" x14ac:dyDescent="0.2">
      <c r="A633" s="984"/>
      <c r="B633" s="633">
        <v>0</v>
      </c>
      <c r="C633" s="634">
        <v>0</v>
      </c>
      <c r="F633" s="634"/>
      <c r="G633" s="598"/>
      <c r="H633" s="598"/>
      <c r="I633" s="634">
        <f t="shared" ref="I633:I653" si="219">C633</f>
        <v>0</v>
      </c>
      <c r="J633" s="598">
        <f t="shared" ref="J633:J653" si="220">D633</f>
        <v>0</v>
      </c>
      <c r="K633" s="598">
        <f t="shared" ref="K633:K653" si="221">E633</f>
        <v>0</v>
      </c>
      <c r="L633" s="634">
        <f t="shared" ref="L633:L653" si="222">C633+F633-I633</f>
        <v>0</v>
      </c>
      <c r="M633" s="598">
        <f t="shared" ref="M633:M653" si="223">D633+G633-J633</f>
        <v>0</v>
      </c>
      <c r="N633" s="650">
        <f t="shared" ref="N633:N653" si="224">E633+H633-K633</f>
        <v>0</v>
      </c>
      <c r="O633" s="682">
        <f t="shared" ref="O633:O653" si="225">F633*Q633+G633*R633+H633*S633</f>
        <v>0</v>
      </c>
      <c r="P633" s="636">
        <f t="shared" ref="P633:P653" si="226">I633*Q633+J633*R633+K633*S633</f>
        <v>0</v>
      </c>
      <c r="Q633" s="637">
        <f t="shared" ref="Q633:S648" si="227">Q233</f>
        <v>525500</v>
      </c>
      <c r="R633" s="638">
        <f t="shared" si="227"/>
        <v>703800</v>
      </c>
      <c r="S633" s="639">
        <f t="shared" si="227"/>
        <v>743200</v>
      </c>
      <c r="T633" s="637">
        <f>L633*$AH$6*AD$12</f>
        <v>0</v>
      </c>
      <c r="U633" s="640" t="e">
        <f>$AH$6*(1-AE$11)*((1+HLOOKUP($A$481,FC_Premissas!$D$5:$W$16,14,FALSE)^0.0833-1))*L633*12</f>
        <v>#REF!</v>
      </c>
      <c r="V633" s="638">
        <f>M633*$AP$6*AL$12</f>
        <v>0</v>
      </c>
      <c r="W633" s="669" t="e">
        <f>$AP$6*(1-AM$11)*((1+HLOOKUP($A$481,FC_Premissas!$D$5:$W$16,14,FALSE)^0.0833-1))*M633*12</f>
        <v>#REF!</v>
      </c>
      <c r="X633" s="637">
        <f>N633*$AX$6*AT$12</f>
        <v>0</v>
      </c>
      <c r="Y633" s="640" t="e">
        <f>$AX$6*(1-AU$11)*((1+HLOOKUP($A$481,FC_Premissas!$D$5:$W$16,14,FALSE)^0.0833-1))*N633*12</f>
        <v>#REF!</v>
      </c>
      <c r="Z633" s="638">
        <f t="shared" ref="Z633:AA653" si="228">T633+V633+X633</f>
        <v>0</v>
      </c>
      <c r="AA633" s="669" t="e">
        <f t="shared" si="228"/>
        <v>#REF!</v>
      </c>
      <c r="AB633" s="641"/>
    </row>
    <row r="634" spans="1:28" x14ac:dyDescent="0.2">
      <c r="A634" s="984"/>
      <c r="B634" s="633">
        <v>1</v>
      </c>
      <c r="C634" s="634">
        <f t="shared" ref="C634:C653" ca="1" si="229">OFFSET(L8,($F$3-1)*25,0)</f>
        <v>0</v>
      </c>
      <c r="D634" s="598">
        <f t="shared" ref="D634:D653" ca="1" si="230">OFFSET(M8,($F$3-1)*25,0)</f>
        <v>0</v>
      </c>
      <c r="E634" s="598">
        <f t="shared" ref="E634:E653" ca="1" si="231">OFFSET(N8,($F$3-1)*25,0)</f>
        <v>0</v>
      </c>
      <c r="F634" s="634"/>
      <c r="G634" s="598"/>
      <c r="H634" s="598"/>
      <c r="I634" s="634">
        <f t="shared" ca="1" si="219"/>
        <v>0</v>
      </c>
      <c r="J634" s="598">
        <f t="shared" ca="1" si="220"/>
        <v>0</v>
      </c>
      <c r="K634" s="598">
        <f t="shared" ca="1" si="221"/>
        <v>0</v>
      </c>
      <c r="L634" s="634">
        <f t="shared" ca="1" si="222"/>
        <v>0</v>
      </c>
      <c r="M634" s="598">
        <f t="shared" ca="1" si="223"/>
        <v>0</v>
      </c>
      <c r="N634" s="650">
        <f t="shared" ca="1" si="224"/>
        <v>0</v>
      </c>
      <c r="O634" s="682">
        <f t="shared" si="225"/>
        <v>0</v>
      </c>
      <c r="P634" s="636">
        <f t="shared" ca="1" si="226"/>
        <v>0</v>
      </c>
      <c r="Q634" s="637">
        <f t="shared" si="227"/>
        <v>439509.09090909094</v>
      </c>
      <c r="R634" s="638">
        <f t="shared" si="227"/>
        <v>590567.30181818188</v>
      </c>
      <c r="S634" s="639">
        <f t="shared" si="227"/>
        <v>623520.02909090917</v>
      </c>
      <c r="T634" s="637">
        <f ca="1">L634*$AH$6*AD$13</f>
        <v>0</v>
      </c>
      <c r="U634" s="640" t="e">
        <f ca="1">$AH$6*(1-AE$12)*((1+HLOOKUP($A$481,FC_Premissas!$D$5:$W$16,14,FALSE)^0.0833-1))*L634*12</f>
        <v>#REF!</v>
      </c>
      <c r="V634" s="638">
        <f ca="1">M634*$AP$6*AL$13</f>
        <v>0</v>
      </c>
      <c r="W634" s="669" t="e">
        <f ca="1">$AP$6*(1-AM$12)*((1+HLOOKUP($A$481,FC_Premissas!$D$5:$W$16,14,FALSE))^0.0833-1)*M634*12</f>
        <v>#REF!</v>
      </c>
      <c r="X634" s="637">
        <f ca="1">N634*$AX$6*AT$13</f>
        <v>0</v>
      </c>
      <c r="Y634" s="640" t="e">
        <f ca="1">$AX$6*(1-AU$12)*((1+HLOOKUP($A$481,FC_Premissas!$D$5:$W$16,14,FALSE))^0.0833-1)*N634*12</f>
        <v>#REF!</v>
      </c>
      <c r="Z634" s="638">
        <f t="shared" ca="1" si="228"/>
        <v>0</v>
      </c>
      <c r="AA634" s="669" t="e">
        <f t="shared" ca="1" si="228"/>
        <v>#REF!</v>
      </c>
      <c r="AB634" s="641"/>
    </row>
    <row r="635" spans="1:28" x14ac:dyDescent="0.2">
      <c r="A635" s="984"/>
      <c r="B635" s="633">
        <v>2</v>
      </c>
      <c r="C635" s="634">
        <f t="shared" ca="1" si="229"/>
        <v>0</v>
      </c>
      <c r="D635" s="598">
        <f t="shared" ca="1" si="230"/>
        <v>0</v>
      </c>
      <c r="E635" s="598">
        <f t="shared" ca="1" si="231"/>
        <v>0</v>
      </c>
      <c r="F635" s="634"/>
      <c r="G635" s="598"/>
      <c r="H635" s="598"/>
      <c r="I635" s="634">
        <f t="shared" ca="1" si="219"/>
        <v>0</v>
      </c>
      <c r="J635" s="598">
        <f t="shared" ca="1" si="220"/>
        <v>0</v>
      </c>
      <c r="K635" s="598">
        <f t="shared" ca="1" si="221"/>
        <v>0</v>
      </c>
      <c r="L635" s="634">
        <f t="shared" ca="1" si="222"/>
        <v>0</v>
      </c>
      <c r="M635" s="598">
        <f t="shared" ca="1" si="223"/>
        <v>0</v>
      </c>
      <c r="N635" s="650">
        <f t="shared" ca="1" si="224"/>
        <v>0</v>
      </c>
      <c r="O635" s="682">
        <f t="shared" si="225"/>
        <v>0</v>
      </c>
      <c r="P635" s="636">
        <f t="shared" ca="1" si="226"/>
        <v>0</v>
      </c>
      <c r="Q635" s="637">
        <f t="shared" si="227"/>
        <v>362117.27272727271</v>
      </c>
      <c r="R635" s="638">
        <f t="shared" si="227"/>
        <v>488657.87345454545</v>
      </c>
      <c r="S635" s="639">
        <f t="shared" si="227"/>
        <v>515808.05527272727</v>
      </c>
      <c r="T635" s="637">
        <f ca="1">L635*$AH$6*AD$14</f>
        <v>0</v>
      </c>
      <c r="U635" s="640" t="e">
        <f ca="1">$AH$6*(1-AE$13)*((1+HLOOKUP($A$481,FC_Premissas!$D$5:$W$16,14,FALSE)^0.0833-1))*L635*12</f>
        <v>#REF!</v>
      </c>
      <c r="V635" s="638">
        <f ca="1">M635*$AP$6*AL$14</f>
        <v>0</v>
      </c>
      <c r="W635" s="669" t="e">
        <f ca="1">$AP$6*(1-AM$13)*((1+HLOOKUP($A$481,FC_Premissas!$D$5:$W$16,14,FALSE))^0.0833-1)*M635*12</f>
        <v>#REF!</v>
      </c>
      <c r="X635" s="637">
        <f ca="1">N635*$AX$6*AT$14</f>
        <v>0</v>
      </c>
      <c r="Y635" s="640" t="e">
        <f ca="1">$AX$6*(1-AU$13)*((1+HLOOKUP($A$481,FC_Premissas!$D$5:$W$16,14,FALSE))^0.0833-1)*N635*12</f>
        <v>#REF!</v>
      </c>
      <c r="Z635" s="638">
        <f t="shared" ca="1" si="228"/>
        <v>0</v>
      </c>
      <c r="AA635" s="669" t="e">
        <f t="shared" ca="1" si="228"/>
        <v>#REF!</v>
      </c>
      <c r="AB635" s="641"/>
    </row>
    <row r="636" spans="1:28" x14ac:dyDescent="0.2">
      <c r="A636" s="984"/>
      <c r="B636" s="633">
        <v>3</v>
      </c>
      <c r="C636" s="634">
        <f t="shared" ca="1" si="229"/>
        <v>0</v>
      </c>
      <c r="D636" s="598">
        <f t="shared" ca="1" si="230"/>
        <v>0</v>
      </c>
      <c r="E636" s="598">
        <f t="shared" ca="1" si="231"/>
        <v>0</v>
      </c>
      <c r="F636" s="634"/>
      <c r="G636" s="598"/>
      <c r="H636" s="598"/>
      <c r="I636" s="634">
        <f t="shared" ca="1" si="219"/>
        <v>0</v>
      </c>
      <c r="J636" s="598">
        <f t="shared" ca="1" si="220"/>
        <v>0</v>
      </c>
      <c r="K636" s="598">
        <f t="shared" ca="1" si="221"/>
        <v>0</v>
      </c>
      <c r="L636" s="634">
        <f t="shared" ca="1" si="222"/>
        <v>0</v>
      </c>
      <c r="M636" s="598">
        <f t="shared" ca="1" si="223"/>
        <v>0</v>
      </c>
      <c r="N636" s="650">
        <f t="shared" ca="1" si="224"/>
        <v>0</v>
      </c>
      <c r="O636" s="682">
        <f t="shared" si="225"/>
        <v>0</v>
      </c>
      <c r="P636" s="636">
        <f t="shared" ca="1" si="226"/>
        <v>0</v>
      </c>
      <c r="Q636" s="637">
        <f t="shared" si="227"/>
        <v>293324.54545454541</v>
      </c>
      <c r="R636" s="638">
        <f t="shared" si="227"/>
        <v>398071.71490909089</v>
      </c>
      <c r="S636" s="639">
        <f t="shared" si="227"/>
        <v>420064.07854545448</v>
      </c>
      <c r="T636" s="637">
        <f ca="1">L636*$AH$6*AD$15</f>
        <v>0</v>
      </c>
      <c r="U636" s="640" t="e">
        <f ca="1">$AH$6*(1-AE$14)*((1+HLOOKUP($A$481,FC_Premissas!$D$5:$W$16,14,FALSE)^0.0833-1))*L636*12</f>
        <v>#REF!</v>
      </c>
      <c r="V636" s="638">
        <f ca="1">M636*$AP$6*AL$15</f>
        <v>0</v>
      </c>
      <c r="W636" s="669" t="e">
        <f ca="1">$AP$6*(1-AM$14)*((1+HLOOKUP($A$481,FC_Premissas!$D$5:$W$16,14,FALSE))^0.0833-1)*M636*12</f>
        <v>#REF!</v>
      </c>
      <c r="X636" s="637">
        <f ca="1">N636*$AX$6*AT$15</f>
        <v>0</v>
      </c>
      <c r="Y636" s="640" t="e">
        <f ca="1">$AX$6*(1-AU$14)*((1+HLOOKUP($A$481,FC_Premissas!$D$5:$W$16,14,FALSE))^0.0833-1)*N636*12</f>
        <v>#REF!</v>
      </c>
      <c r="Z636" s="638">
        <f t="shared" ca="1" si="228"/>
        <v>0</v>
      </c>
      <c r="AA636" s="669" t="e">
        <f t="shared" ca="1" si="228"/>
        <v>#REF!</v>
      </c>
      <c r="AB636" s="641"/>
    </row>
    <row r="637" spans="1:28" x14ac:dyDescent="0.2">
      <c r="A637" s="984"/>
      <c r="B637" s="633">
        <v>4</v>
      </c>
      <c r="C637" s="634">
        <f t="shared" ca="1" si="229"/>
        <v>0</v>
      </c>
      <c r="D637" s="598">
        <f t="shared" ca="1" si="230"/>
        <v>0</v>
      </c>
      <c r="E637" s="598">
        <f t="shared" ca="1" si="231"/>
        <v>0</v>
      </c>
      <c r="F637" s="634"/>
      <c r="G637" s="598"/>
      <c r="H637" s="598"/>
      <c r="I637" s="634">
        <f t="shared" ca="1" si="219"/>
        <v>0</v>
      </c>
      <c r="J637" s="598">
        <f t="shared" ca="1" si="220"/>
        <v>0</v>
      </c>
      <c r="K637" s="598">
        <f t="shared" ca="1" si="221"/>
        <v>0</v>
      </c>
      <c r="L637" s="634">
        <f t="shared" ca="1" si="222"/>
        <v>0</v>
      </c>
      <c r="M637" s="598">
        <f t="shared" ca="1" si="223"/>
        <v>0</v>
      </c>
      <c r="N637" s="650">
        <f t="shared" ca="1" si="224"/>
        <v>0</v>
      </c>
      <c r="O637" s="682">
        <f t="shared" si="225"/>
        <v>0</v>
      </c>
      <c r="P637" s="636">
        <f t="shared" ca="1" si="226"/>
        <v>0</v>
      </c>
      <c r="Q637" s="637">
        <f t="shared" si="227"/>
        <v>233130.90909090909</v>
      </c>
      <c r="R637" s="638">
        <f t="shared" si="227"/>
        <v>318808.82618181815</v>
      </c>
      <c r="S637" s="639">
        <f t="shared" si="227"/>
        <v>336288.09890909091</v>
      </c>
      <c r="T637" s="637">
        <f ca="1">L637*$AH$6*AD$16</f>
        <v>0</v>
      </c>
      <c r="U637" s="640" t="e">
        <f ca="1">$AH$6*(1-AE$15)*((1+HLOOKUP($A$481,FC_Premissas!$D$5:$W$16,14,FALSE)^0.0833-1))*L637*12</f>
        <v>#REF!</v>
      </c>
      <c r="V637" s="638">
        <f ca="1">M637*$AP$6*AL$16</f>
        <v>0</v>
      </c>
      <c r="W637" s="669" t="e">
        <f ca="1">$AP$6*(1-AM$15)*((1+HLOOKUP($A$481,FC_Premissas!$D$5:$W$16,14,FALSE))^0.0833-1)*M637*12</f>
        <v>#REF!</v>
      </c>
      <c r="X637" s="637">
        <f ca="1">N637*$AX$6*AT$16</f>
        <v>0</v>
      </c>
      <c r="Y637" s="640" t="e">
        <f ca="1">$AX$6*(1-AU$15)*((1+HLOOKUP($A$481,FC_Premissas!$D$5:$W$16,14,FALSE))^0.0833-1)*N637*12</f>
        <v>#REF!</v>
      </c>
      <c r="Z637" s="638">
        <f t="shared" ca="1" si="228"/>
        <v>0</v>
      </c>
      <c r="AA637" s="669" t="e">
        <f t="shared" ca="1" si="228"/>
        <v>#REF!</v>
      </c>
      <c r="AB637" s="641"/>
    </row>
    <row r="638" spans="1:28" x14ac:dyDescent="0.2">
      <c r="A638" s="984"/>
      <c r="B638" s="633">
        <v>5</v>
      </c>
      <c r="C638" s="634">
        <f t="shared" ca="1" si="229"/>
        <v>0</v>
      </c>
      <c r="D638" s="598">
        <f t="shared" ca="1" si="230"/>
        <v>0</v>
      </c>
      <c r="E638" s="598">
        <f t="shared" ca="1" si="231"/>
        <v>0</v>
      </c>
      <c r="F638" s="634"/>
      <c r="G638" s="598"/>
      <c r="H638" s="598"/>
      <c r="I638" s="634">
        <f t="shared" ca="1" si="219"/>
        <v>0</v>
      </c>
      <c r="J638" s="598">
        <f t="shared" ca="1" si="220"/>
        <v>0</v>
      </c>
      <c r="K638" s="598">
        <f t="shared" ca="1" si="221"/>
        <v>0</v>
      </c>
      <c r="L638" s="634">
        <f t="shared" ca="1" si="222"/>
        <v>0</v>
      </c>
      <c r="M638" s="598">
        <f t="shared" ca="1" si="223"/>
        <v>0</v>
      </c>
      <c r="N638" s="650">
        <f t="shared" ca="1" si="224"/>
        <v>0</v>
      </c>
      <c r="O638" s="682">
        <f t="shared" si="225"/>
        <v>0</v>
      </c>
      <c r="P638" s="636">
        <f t="shared" ca="1" si="226"/>
        <v>0</v>
      </c>
      <c r="Q638" s="637">
        <f t="shared" si="227"/>
        <v>181536.36363636365</v>
      </c>
      <c r="R638" s="638">
        <f t="shared" si="227"/>
        <v>250869.20727272728</v>
      </c>
      <c r="S638" s="639">
        <f t="shared" si="227"/>
        <v>264480.11636363639</v>
      </c>
      <c r="T638" s="637">
        <f ca="1">L638*$AH$6*AD$17</f>
        <v>0</v>
      </c>
      <c r="U638" s="640" t="e">
        <f ca="1">$AH$6*(1-AE$16)*((1+HLOOKUP($A$481,FC_Premissas!$D$5:$W$16,14,FALSE)^0.0833-1))*L638*12</f>
        <v>#REF!</v>
      </c>
      <c r="V638" s="638">
        <f ca="1">M638*$AP$6*AL$17</f>
        <v>0</v>
      </c>
      <c r="W638" s="669" t="e">
        <f ca="1">$AP$6*(1-AM$16)*((1+HLOOKUP($A$481,FC_Premissas!$D$5:$W$16,14,FALSE))^0.0833-1)*M638*12</f>
        <v>#REF!</v>
      </c>
      <c r="X638" s="637">
        <f ca="1">N638*$AX$6*AT$17</f>
        <v>0</v>
      </c>
      <c r="Y638" s="640" t="e">
        <f ca="1">$AX$6*(1-AU$16)*((1+HLOOKUP($A$481,FC_Premissas!$D$5:$W$16,14,FALSE))^0.0833-1)*N638*12</f>
        <v>#REF!</v>
      </c>
      <c r="Z638" s="638">
        <f t="shared" ca="1" si="228"/>
        <v>0</v>
      </c>
      <c r="AA638" s="669" t="e">
        <f t="shared" ca="1" si="228"/>
        <v>#REF!</v>
      </c>
      <c r="AB638" s="641"/>
    </row>
    <row r="639" spans="1:28" x14ac:dyDescent="0.2">
      <c r="A639" s="984"/>
      <c r="B639" s="633">
        <v>6</v>
      </c>
      <c r="C639" s="634">
        <f t="shared" ca="1" si="229"/>
        <v>0</v>
      </c>
      <c r="D639" s="598">
        <f t="shared" ca="1" si="230"/>
        <v>0</v>
      </c>
      <c r="E639" s="598">
        <f t="shared" ca="1" si="231"/>
        <v>0</v>
      </c>
      <c r="F639" s="634"/>
      <c r="G639" s="598"/>
      <c r="H639" s="598"/>
      <c r="I639" s="634">
        <f t="shared" ca="1" si="219"/>
        <v>0</v>
      </c>
      <c r="J639" s="598">
        <f t="shared" ca="1" si="220"/>
        <v>0</v>
      </c>
      <c r="K639" s="598">
        <f t="shared" ca="1" si="221"/>
        <v>0</v>
      </c>
      <c r="L639" s="634">
        <f t="shared" ca="1" si="222"/>
        <v>0</v>
      </c>
      <c r="M639" s="598">
        <f t="shared" ca="1" si="223"/>
        <v>0</v>
      </c>
      <c r="N639" s="650">
        <f t="shared" ca="1" si="224"/>
        <v>0</v>
      </c>
      <c r="O639" s="682">
        <f t="shared" si="225"/>
        <v>0</v>
      </c>
      <c r="P639" s="636">
        <f t="shared" ca="1" si="226"/>
        <v>0</v>
      </c>
      <c r="Q639" s="637">
        <f t="shared" si="227"/>
        <v>138540.90909090912</v>
      </c>
      <c r="R639" s="638">
        <f t="shared" si="227"/>
        <v>194252.85818181818</v>
      </c>
      <c r="S639" s="639">
        <f t="shared" si="227"/>
        <v>204640.13090909092</v>
      </c>
      <c r="T639" s="637">
        <f ca="1">L639*$AH$6*AD$18</f>
        <v>0</v>
      </c>
      <c r="U639" s="640" t="e">
        <f ca="1">$AH$6*(1-AE$17)*((1+HLOOKUP($A$481,FC_Premissas!$D$5:$W$16,14,FALSE)^0.0833-1))*L639*12</f>
        <v>#REF!</v>
      </c>
      <c r="V639" s="638">
        <f ca="1">M639*$AP$6*AL$18</f>
        <v>0</v>
      </c>
      <c r="W639" s="669" t="e">
        <f ca="1">$AP$6*(1-AM$17)*((1+HLOOKUP($A$481,FC_Premissas!$D$5:$W$16,14,FALSE))^0.0833-1)*M639*12</f>
        <v>#REF!</v>
      </c>
      <c r="X639" s="637">
        <f ca="1">N639*$AX$6*AT$18</f>
        <v>0</v>
      </c>
      <c r="Y639" s="640" t="e">
        <f ca="1">$AX$6*(1-AU$17)*((1+HLOOKUP($A$481,FC_Premissas!$D$5:$W$16,14,FALSE))^0.0833-1)*N639*12</f>
        <v>#REF!</v>
      </c>
      <c r="Z639" s="638">
        <f t="shared" ca="1" si="228"/>
        <v>0</v>
      </c>
      <c r="AA639" s="669" t="e">
        <f t="shared" ca="1" si="228"/>
        <v>#REF!</v>
      </c>
      <c r="AB639" s="641"/>
    </row>
    <row r="640" spans="1:28" x14ac:dyDescent="0.2">
      <c r="A640" s="984"/>
      <c r="B640" s="633">
        <v>7</v>
      </c>
      <c r="C640" s="634">
        <f t="shared" ca="1" si="229"/>
        <v>0</v>
      </c>
      <c r="D640" s="598">
        <f t="shared" ca="1" si="230"/>
        <v>0</v>
      </c>
      <c r="E640" s="598">
        <f t="shared" ca="1" si="231"/>
        <v>4</v>
      </c>
      <c r="F640" s="634"/>
      <c r="G640" s="598"/>
      <c r="H640" s="598"/>
      <c r="I640" s="634">
        <f t="shared" ca="1" si="219"/>
        <v>0</v>
      </c>
      <c r="J640" s="598">
        <f t="shared" ca="1" si="220"/>
        <v>0</v>
      </c>
      <c r="K640" s="598">
        <f t="shared" ca="1" si="221"/>
        <v>4</v>
      </c>
      <c r="L640" s="634">
        <f t="shared" ca="1" si="222"/>
        <v>0</v>
      </c>
      <c r="M640" s="598">
        <f t="shared" ca="1" si="223"/>
        <v>0</v>
      </c>
      <c r="N640" s="650">
        <f t="shared" ca="1" si="224"/>
        <v>0</v>
      </c>
      <c r="O640" s="682">
        <f t="shared" si="225"/>
        <v>0</v>
      </c>
      <c r="P640" s="636">
        <f t="shared" ca="1" si="226"/>
        <v>627072.57018181833</v>
      </c>
      <c r="Q640" s="637">
        <f t="shared" si="227"/>
        <v>104144.54545454548</v>
      </c>
      <c r="R640" s="638">
        <f t="shared" si="227"/>
        <v>148959.77890909094</v>
      </c>
      <c r="S640" s="639">
        <f t="shared" si="227"/>
        <v>156768.14254545458</v>
      </c>
      <c r="T640" s="637">
        <f ca="1">L640*$AH$6*AD$19</f>
        <v>0</v>
      </c>
      <c r="U640" s="640" t="e">
        <f ca="1">$AH$6*(1-AE$18)*((1+HLOOKUP($A$481,FC_Premissas!$D$5:$W$16,14,FALSE)^0.0833-1))*L640*12</f>
        <v>#REF!</v>
      </c>
      <c r="V640" s="638">
        <f ca="1">M640*$AP$6*AL$19</f>
        <v>0</v>
      </c>
      <c r="W640" s="669" t="e">
        <f ca="1">$AP$6*(1-AM$18)*((1+HLOOKUP($A$481,FC_Premissas!$D$5:$W$16,14,FALSE))^0.0833-1)*M640*12</f>
        <v>#REF!</v>
      </c>
      <c r="X640" s="637">
        <f ca="1">N640*$AX$6*AT$19</f>
        <v>0</v>
      </c>
      <c r="Y640" s="640" t="e">
        <f ca="1">$AX$6*(1-AU$18)*((1+HLOOKUP($A$481,FC_Premissas!$D$5:$W$16,14,FALSE))^0.0833-1)*N640*12</f>
        <v>#REF!</v>
      </c>
      <c r="Z640" s="638">
        <f t="shared" ca="1" si="228"/>
        <v>0</v>
      </c>
      <c r="AA640" s="669" t="e">
        <f t="shared" ca="1" si="228"/>
        <v>#REF!</v>
      </c>
      <c r="AB640" s="641"/>
    </row>
    <row r="641" spans="1:28" x14ac:dyDescent="0.2">
      <c r="A641" s="984"/>
      <c r="B641" s="633">
        <v>8</v>
      </c>
      <c r="C641" s="634">
        <f t="shared" ca="1" si="229"/>
        <v>0</v>
      </c>
      <c r="D641" s="598">
        <f t="shared" ca="1" si="230"/>
        <v>0</v>
      </c>
      <c r="E641" s="598">
        <f t="shared" ca="1" si="231"/>
        <v>1</v>
      </c>
      <c r="F641" s="634"/>
      <c r="G641" s="598"/>
      <c r="H641" s="598"/>
      <c r="I641" s="634">
        <f t="shared" ca="1" si="219"/>
        <v>0</v>
      </c>
      <c r="J641" s="598">
        <f t="shared" ca="1" si="220"/>
        <v>0</v>
      </c>
      <c r="K641" s="598">
        <f t="shared" ca="1" si="221"/>
        <v>1</v>
      </c>
      <c r="L641" s="634">
        <f t="shared" ca="1" si="222"/>
        <v>0</v>
      </c>
      <c r="M641" s="598">
        <f t="shared" ca="1" si="223"/>
        <v>0</v>
      </c>
      <c r="N641" s="650">
        <f t="shared" ca="1" si="224"/>
        <v>0</v>
      </c>
      <c r="O641" s="682">
        <f t="shared" si="225"/>
        <v>0</v>
      </c>
      <c r="P641" s="636">
        <f t="shared" ca="1" si="226"/>
        <v>120864.15127272732</v>
      </c>
      <c r="Q641" s="637">
        <f t="shared" si="227"/>
        <v>78347.272727272764</v>
      </c>
      <c r="R641" s="638">
        <f t="shared" si="227"/>
        <v>114989.9694545455</v>
      </c>
      <c r="S641" s="639">
        <f t="shared" si="227"/>
        <v>120864.15127272732</v>
      </c>
      <c r="T641" s="637">
        <f ca="1">L641*$AH$6*AD$20</f>
        <v>0</v>
      </c>
      <c r="U641" s="640" t="e">
        <f ca="1">$AH$6*(1-AE$19)*((1+HLOOKUP($A$481,FC_Premissas!$D$5:$W$16,14,FALSE)^0.0833-1))*L641*12</f>
        <v>#REF!</v>
      </c>
      <c r="V641" s="638">
        <f ca="1">M641*$AP$6*AL$20</f>
        <v>0</v>
      </c>
      <c r="W641" s="669" t="e">
        <f ca="1">$AP$6*(1-AM$19)*((1+HLOOKUP($A$481,FC_Premissas!$D$5:$W$16,14,FALSE))^0.0833-1)*M641*12</f>
        <v>#REF!</v>
      </c>
      <c r="X641" s="637">
        <f ca="1">N641*$AX$6*AT$20</f>
        <v>0</v>
      </c>
      <c r="Y641" s="640" t="e">
        <f ca="1">$AX$6*(1-AU$19)*((1+HLOOKUP($A$481,FC_Premissas!$D$5:$W$16,14,FALSE))^0.0833-1)*N641*12</f>
        <v>#REF!</v>
      </c>
      <c r="Z641" s="638">
        <f t="shared" ca="1" si="228"/>
        <v>0</v>
      </c>
      <c r="AA641" s="669" t="e">
        <f t="shared" ca="1" si="228"/>
        <v>#REF!</v>
      </c>
      <c r="AB641" s="641"/>
    </row>
    <row r="642" spans="1:28" x14ac:dyDescent="0.2">
      <c r="A642" s="984"/>
      <c r="B642" s="633">
        <v>9</v>
      </c>
      <c r="C642" s="634">
        <f t="shared" ca="1" si="229"/>
        <v>0</v>
      </c>
      <c r="D642" s="598">
        <f t="shared" ca="1" si="230"/>
        <v>0</v>
      </c>
      <c r="E642" s="598">
        <f t="shared" ca="1" si="231"/>
        <v>1</v>
      </c>
      <c r="F642" s="634"/>
      <c r="G642" s="598"/>
      <c r="H642" s="598"/>
      <c r="I642" s="634">
        <f t="shared" ca="1" si="219"/>
        <v>0</v>
      </c>
      <c r="J642" s="598">
        <f t="shared" ca="1" si="220"/>
        <v>0</v>
      </c>
      <c r="K642" s="598">
        <f t="shared" ca="1" si="221"/>
        <v>1</v>
      </c>
      <c r="L642" s="634">
        <f t="shared" ca="1" si="222"/>
        <v>0</v>
      </c>
      <c r="M642" s="598">
        <f t="shared" ca="1" si="223"/>
        <v>0</v>
      </c>
      <c r="N642" s="650">
        <f t="shared" ca="1" si="224"/>
        <v>0</v>
      </c>
      <c r="O642" s="682">
        <f t="shared" si="225"/>
        <v>0</v>
      </c>
      <c r="P642" s="636">
        <f t="shared" ca="1" si="226"/>
        <v>96928.157090909139</v>
      </c>
      <c r="Q642" s="637">
        <f t="shared" si="227"/>
        <v>61149.090909090955</v>
      </c>
      <c r="R642" s="638">
        <f t="shared" si="227"/>
        <v>92343.429818181874</v>
      </c>
      <c r="S642" s="639">
        <f t="shared" si="227"/>
        <v>96928.157090909139</v>
      </c>
      <c r="T642" s="637">
        <f ca="1">L642*$AH$6*AD$21</f>
        <v>0</v>
      </c>
      <c r="U642" s="640" t="e">
        <f ca="1">$AH$6*(1-AE$20)*((1+HLOOKUP($A$481,FC_Premissas!$D$5:$W$16,14,FALSE)^0.0833-1))*L642*12</f>
        <v>#REF!</v>
      </c>
      <c r="V642" s="638">
        <f ca="1">M642*$AP$6*AL$21</f>
        <v>0</v>
      </c>
      <c r="W642" s="669" t="e">
        <f ca="1">$AP$6*(1-AM$20)*((1+HLOOKUP($A$481,FC_Premissas!$D$5:$W$16,14,FALSE))^0.0833-1)*M642*12</f>
        <v>#REF!</v>
      </c>
      <c r="X642" s="637">
        <f ca="1">N642*$AX$6*AT$21</f>
        <v>0</v>
      </c>
      <c r="Y642" s="640" t="e">
        <f ca="1">$AX$6*(1-AU$20)*((1+HLOOKUP($A$481,FC_Premissas!$D$5:$W$16,14,FALSE))^0.0833-1)*N642*12</f>
        <v>#REF!</v>
      </c>
      <c r="Z642" s="638">
        <f t="shared" ca="1" si="228"/>
        <v>0</v>
      </c>
      <c r="AA642" s="669" t="e">
        <f t="shared" ca="1" si="228"/>
        <v>#REF!</v>
      </c>
      <c r="AB642" s="641"/>
    </row>
    <row r="643" spans="1:28" x14ac:dyDescent="0.2">
      <c r="A643" s="984"/>
      <c r="B643" s="633">
        <v>10</v>
      </c>
      <c r="C643" s="634">
        <f t="shared" ca="1" si="229"/>
        <v>0</v>
      </c>
      <c r="D643" s="598">
        <f t="shared" ca="1" si="230"/>
        <v>0</v>
      </c>
      <c r="E643" s="598">
        <f t="shared" ca="1" si="231"/>
        <v>3</v>
      </c>
      <c r="F643" s="634"/>
      <c r="G643" s="598"/>
      <c r="H643" s="598"/>
      <c r="I643" s="634">
        <f t="shared" ca="1" si="219"/>
        <v>0</v>
      </c>
      <c r="J643" s="598">
        <f t="shared" ca="1" si="220"/>
        <v>0</v>
      </c>
      <c r="K643" s="598">
        <f t="shared" ca="1" si="221"/>
        <v>3</v>
      </c>
      <c r="L643" s="634">
        <f t="shared" ca="1" si="222"/>
        <v>0</v>
      </c>
      <c r="M643" s="598">
        <f t="shared" ca="1" si="223"/>
        <v>0</v>
      </c>
      <c r="N643" s="650">
        <f t="shared" ca="1" si="224"/>
        <v>0</v>
      </c>
      <c r="O643" s="682">
        <f t="shared" si="225"/>
        <v>0</v>
      </c>
      <c r="P643" s="636">
        <f t="shared" ca="1" si="226"/>
        <v>254880.48000000019</v>
      </c>
      <c r="Q643" s="637">
        <f t="shared" si="227"/>
        <v>52550.000000000044</v>
      </c>
      <c r="R643" s="638">
        <f t="shared" si="227"/>
        <v>81020.160000000062</v>
      </c>
      <c r="S643" s="639">
        <f t="shared" si="227"/>
        <v>84960.160000000062</v>
      </c>
      <c r="T643" s="637">
        <f ca="1">L643*$AH$6*AD$22</f>
        <v>0</v>
      </c>
      <c r="U643" s="640" t="e">
        <f ca="1">$AH$6*(1-AE$21)*((1+HLOOKUP($A$481,FC_Premissas!$D$5:$W$16,14,FALSE)^0.0833-1))*L643*12</f>
        <v>#REF!</v>
      </c>
      <c r="V643" s="638">
        <f ca="1">M643*$AP$6*AL$22</f>
        <v>0</v>
      </c>
      <c r="W643" s="669" t="e">
        <f ca="1">$AP$6*(1-AM$21)*((1+HLOOKUP($A$481,FC_Premissas!$D$5:$W$16,14,FALSE))^0.0833-1)*M643*12</f>
        <v>#REF!</v>
      </c>
      <c r="X643" s="637">
        <f ca="1">N643*$AX$6*AT$22</f>
        <v>0</v>
      </c>
      <c r="Y643" s="640" t="e">
        <f ca="1">$AX$6*(1-AU$21)*((1+HLOOKUP($A$481,FC_Premissas!$D$5:$W$16,14,FALSE))^0.0833-1)*N643*12</f>
        <v>#REF!</v>
      </c>
      <c r="Z643" s="638">
        <f t="shared" ca="1" si="228"/>
        <v>0</v>
      </c>
      <c r="AA643" s="669" t="e">
        <f t="shared" ca="1" si="228"/>
        <v>#REF!</v>
      </c>
      <c r="AB643" s="641"/>
    </row>
    <row r="644" spans="1:28" x14ac:dyDescent="0.2">
      <c r="A644" s="984"/>
      <c r="B644" s="633">
        <v>11</v>
      </c>
      <c r="C644" s="634">
        <f t="shared" ca="1" si="229"/>
        <v>0</v>
      </c>
      <c r="D644" s="598">
        <f t="shared" ca="1" si="230"/>
        <v>0</v>
      </c>
      <c r="E644" s="598">
        <f t="shared" ca="1" si="231"/>
        <v>0</v>
      </c>
      <c r="F644" s="634"/>
      <c r="G644" s="598"/>
      <c r="H644" s="598"/>
      <c r="I644" s="634">
        <f t="shared" ca="1" si="219"/>
        <v>0</v>
      </c>
      <c r="J644" s="598">
        <f t="shared" ca="1" si="220"/>
        <v>0</v>
      </c>
      <c r="K644" s="598">
        <f t="shared" ca="1" si="221"/>
        <v>0</v>
      </c>
      <c r="L644" s="634">
        <f t="shared" ca="1" si="222"/>
        <v>0</v>
      </c>
      <c r="M644" s="598">
        <f t="shared" ca="1" si="223"/>
        <v>0</v>
      </c>
      <c r="N644" s="650">
        <f t="shared" ca="1" si="224"/>
        <v>0</v>
      </c>
      <c r="O644" s="682">
        <f t="shared" si="225"/>
        <v>0</v>
      </c>
      <c r="P644" s="636">
        <f t="shared" ca="1" si="226"/>
        <v>0</v>
      </c>
      <c r="Q644" s="637">
        <f t="shared" si="227"/>
        <v>52550.000000000044</v>
      </c>
      <c r="R644" s="638">
        <f t="shared" si="227"/>
        <v>81020.160000000062</v>
      </c>
      <c r="S644" s="639">
        <f t="shared" si="227"/>
        <v>84960.160000000062</v>
      </c>
      <c r="T644" s="637">
        <f ca="1">L644*$AH$6*AD$23</f>
        <v>0</v>
      </c>
      <c r="U644" s="640" t="e">
        <f ca="1">$AH$6*(1-AE$22)*((1+HLOOKUP($A$481,FC_Premissas!$D$5:$W$16,14,FALSE)^0.0833-1))*L644*12</f>
        <v>#REF!</v>
      </c>
      <c r="V644" s="638">
        <f ca="1">M644*$AP$6*AL$23</f>
        <v>0</v>
      </c>
      <c r="W644" s="669" t="e">
        <f ca="1">$AP$6*(1-AM$22)*((1+HLOOKUP($A$481,FC_Premissas!$D$5:$W$16,14,FALSE))^0.0833-1)*M644*12</f>
        <v>#REF!</v>
      </c>
      <c r="X644" s="637">
        <f ca="1">N644*$AX$6*AT$23</f>
        <v>0</v>
      </c>
      <c r="Y644" s="640" t="e">
        <f ca="1">$AX$6*(1-AU$22)*((1+HLOOKUP($A$481,FC_Premissas!$D$5:$W$16,14,FALSE))^0.0833-1)*N644*12</f>
        <v>#REF!</v>
      </c>
      <c r="Z644" s="638">
        <f t="shared" ca="1" si="228"/>
        <v>0</v>
      </c>
      <c r="AA644" s="669" t="e">
        <f t="shared" ca="1" si="228"/>
        <v>#REF!</v>
      </c>
      <c r="AB644" s="641"/>
    </row>
    <row r="645" spans="1:28" x14ac:dyDescent="0.2">
      <c r="A645" s="984"/>
      <c r="B645" s="633">
        <v>12</v>
      </c>
      <c r="C645" s="634">
        <f t="shared" ca="1" si="229"/>
        <v>0</v>
      </c>
      <c r="D645" s="598">
        <f t="shared" ca="1" si="230"/>
        <v>0</v>
      </c>
      <c r="E645" s="598">
        <f t="shared" ca="1" si="231"/>
        <v>2</v>
      </c>
      <c r="F645" s="634"/>
      <c r="G645" s="598"/>
      <c r="H645" s="598"/>
      <c r="I645" s="634">
        <f t="shared" ca="1" si="219"/>
        <v>0</v>
      </c>
      <c r="J645" s="598">
        <f t="shared" ca="1" si="220"/>
        <v>0</v>
      </c>
      <c r="K645" s="598">
        <f t="shared" ca="1" si="221"/>
        <v>2</v>
      </c>
      <c r="L645" s="634">
        <f t="shared" ca="1" si="222"/>
        <v>0</v>
      </c>
      <c r="M645" s="598">
        <f t="shared" ca="1" si="223"/>
        <v>0</v>
      </c>
      <c r="N645" s="650">
        <f t="shared" ca="1" si="224"/>
        <v>0</v>
      </c>
      <c r="O645" s="682">
        <f t="shared" si="225"/>
        <v>0</v>
      </c>
      <c r="P645" s="636">
        <f t="shared" ca="1" si="226"/>
        <v>169920.32000000012</v>
      </c>
      <c r="Q645" s="637">
        <f t="shared" si="227"/>
        <v>52550.000000000044</v>
      </c>
      <c r="R645" s="638">
        <f t="shared" si="227"/>
        <v>81020.160000000062</v>
      </c>
      <c r="S645" s="639">
        <f t="shared" si="227"/>
        <v>84960.160000000062</v>
      </c>
      <c r="T645" s="637">
        <f ca="1">L645*$AH$6*AD$24</f>
        <v>0</v>
      </c>
      <c r="U645" s="640" t="e">
        <f ca="1">$AH$6*(1-AE$23)*((1+HLOOKUP($A$481,FC_Premissas!$D$5:$W$16,14,FALSE)^0.0833-1))*L645*12</f>
        <v>#REF!</v>
      </c>
      <c r="V645" s="638">
        <f ca="1">M645*$AP$6*AL$24</f>
        <v>0</v>
      </c>
      <c r="W645" s="669" t="e">
        <f ca="1">$AP$6*(1-AM$23)*((1+HLOOKUP($A$481,FC_Premissas!$D$5:$W$16,14,FALSE))^0.0833-1)*M645*12</f>
        <v>#REF!</v>
      </c>
      <c r="X645" s="637">
        <f ca="1">N645*$AX$6*AT$24</f>
        <v>0</v>
      </c>
      <c r="Y645" s="640" t="e">
        <f ca="1">$AX$6*(1-AU$23)*((1+HLOOKUP($A$481,FC_Premissas!$D$5:$W$16,14,FALSE))^0.0833-1)*N645*12</f>
        <v>#REF!</v>
      </c>
      <c r="Z645" s="638">
        <f t="shared" ca="1" si="228"/>
        <v>0</v>
      </c>
      <c r="AA645" s="669" t="e">
        <f t="shared" ca="1" si="228"/>
        <v>#REF!</v>
      </c>
      <c r="AB645" s="641"/>
    </row>
    <row r="646" spans="1:28" ht="11.25" customHeight="1" x14ac:dyDescent="0.2">
      <c r="A646" s="984"/>
      <c r="B646" s="633">
        <v>13</v>
      </c>
      <c r="C646" s="634">
        <f t="shared" ca="1" si="229"/>
        <v>0</v>
      </c>
      <c r="D646" s="598">
        <f t="shared" ca="1" si="230"/>
        <v>0</v>
      </c>
      <c r="E646" s="650">
        <f t="shared" ca="1" si="231"/>
        <v>0</v>
      </c>
      <c r="F646" s="634"/>
      <c r="G646" s="598"/>
      <c r="H646" s="598"/>
      <c r="I646" s="634">
        <f t="shared" ca="1" si="219"/>
        <v>0</v>
      </c>
      <c r="J646" s="598">
        <f t="shared" ca="1" si="220"/>
        <v>0</v>
      </c>
      <c r="K646" s="598">
        <f t="shared" ca="1" si="221"/>
        <v>0</v>
      </c>
      <c r="L646" s="634">
        <f t="shared" ca="1" si="222"/>
        <v>0</v>
      </c>
      <c r="M646" s="598">
        <f t="shared" ca="1" si="223"/>
        <v>0</v>
      </c>
      <c r="N646" s="598">
        <f t="shared" ca="1" si="224"/>
        <v>0</v>
      </c>
      <c r="O646" s="635">
        <f t="shared" si="225"/>
        <v>0</v>
      </c>
      <c r="P646" s="636">
        <f t="shared" ca="1" si="226"/>
        <v>0</v>
      </c>
      <c r="Q646" s="637">
        <f t="shared" si="227"/>
        <v>52550.000000000044</v>
      </c>
      <c r="R646" s="638">
        <f t="shared" si="227"/>
        <v>81020.160000000062</v>
      </c>
      <c r="S646" s="639">
        <f t="shared" si="227"/>
        <v>84960.160000000062</v>
      </c>
      <c r="T646" s="637">
        <f ca="1">L646*$AH$6*AD$25</f>
        <v>0</v>
      </c>
      <c r="U646" s="640" t="e">
        <f ca="1">$AH$6*(1-AE$24)*((1+HLOOKUP($A$481,FC_Premissas!$D$5:$W$16,14,FALSE)^0.0833-1))*L646*12</f>
        <v>#REF!</v>
      </c>
      <c r="V646" s="638">
        <f ca="1">M646*$AP$6*AL$25</f>
        <v>0</v>
      </c>
      <c r="W646" s="669" t="e">
        <f ca="1">$AP$6*(1-AM$24)*((1+HLOOKUP($A$481,FC_Premissas!$D$5:$W$16,14,FALSE))^0.0833-1)*M646*12</f>
        <v>#REF!</v>
      </c>
      <c r="X646" s="637">
        <f ca="1">N646*$AX$6*AT$25</f>
        <v>0</v>
      </c>
      <c r="Y646" s="640" t="e">
        <f ca="1">$AX$6*(1-AU$24)*((1+HLOOKUP($A$481,FC_Premissas!$D$5:$W$16,14,FALSE))^0.0833-1)*N646*12</f>
        <v>#REF!</v>
      </c>
      <c r="Z646" s="638">
        <f t="shared" ca="1" si="228"/>
        <v>0</v>
      </c>
      <c r="AA646" s="669" t="e">
        <f t="shared" ca="1" si="228"/>
        <v>#REF!</v>
      </c>
      <c r="AB646" s="641"/>
    </row>
    <row r="647" spans="1:28" ht="11.25" customHeight="1" x14ac:dyDescent="0.2">
      <c r="A647" s="984"/>
      <c r="B647" s="633">
        <v>14</v>
      </c>
      <c r="C647" s="634">
        <f t="shared" ca="1" si="229"/>
        <v>0</v>
      </c>
      <c r="D647" s="598">
        <f t="shared" ca="1" si="230"/>
        <v>0</v>
      </c>
      <c r="E647" s="650">
        <f t="shared" ca="1" si="231"/>
        <v>0</v>
      </c>
      <c r="F647" s="634"/>
      <c r="G647" s="598"/>
      <c r="H647" s="598"/>
      <c r="I647" s="634">
        <f t="shared" ca="1" si="219"/>
        <v>0</v>
      </c>
      <c r="J647" s="598">
        <f t="shared" ca="1" si="220"/>
        <v>0</v>
      </c>
      <c r="K647" s="598">
        <f t="shared" ca="1" si="221"/>
        <v>0</v>
      </c>
      <c r="L647" s="634">
        <f t="shared" ca="1" si="222"/>
        <v>0</v>
      </c>
      <c r="M647" s="598">
        <f t="shared" ca="1" si="223"/>
        <v>0</v>
      </c>
      <c r="N647" s="598">
        <f t="shared" ca="1" si="224"/>
        <v>0</v>
      </c>
      <c r="O647" s="635">
        <f t="shared" si="225"/>
        <v>0</v>
      </c>
      <c r="P647" s="636">
        <f t="shared" ca="1" si="226"/>
        <v>0</v>
      </c>
      <c r="Q647" s="637">
        <f t="shared" si="227"/>
        <v>52550.000000000044</v>
      </c>
      <c r="R647" s="638">
        <f t="shared" si="227"/>
        <v>81020.160000000062</v>
      </c>
      <c r="S647" s="639">
        <f t="shared" si="227"/>
        <v>84960.160000000062</v>
      </c>
      <c r="T647" s="637">
        <f ca="1">L647*$AH$6*AD$26</f>
        <v>0</v>
      </c>
      <c r="U647" s="640" t="e">
        <f ca="1">$AH$6*(1-AE$25)*((1+HLOOKUP($A$481,FC_Premissas!$D$5:$W$16,14,FALSE)^0.0833-1))*L647*12</f>
        <v>#REF!</v>
      </c>
      <c r="V647" s="638">
        <f ca="1">M647*$AP$6*AL$26</f>
        <v>0</v>
      </c>
      <c r="W647" s="669" t="e">
        <f ca="1">$AP$6*(1-AM$25)*((1+HLOOKUP($A$481,FC_Premissas!$D$5:$W$16,14,FALSE))^0.0833-1)*M647*12</f>
        <v>#REF!</v>
      </c>
      <c r="X647" s="637">
        <f ca="1">N647*$AX$6*AT$26</f>
        <v>0</v>
      </c>
      <c r="Y647" s="640" t="e">
        <f ca="1">$AX$6*(1-AU$25)*((1+HLOOKUP($A$481,FC_Premissas!$D$5:$W$16,14,FALSE))^0.0833-1)*N647*12</f>
        <v>#REF!</v>
      </c>
      <c r="Z647" s="638">
        <f t="shared" ca="1" si="228"/>
        <v>0</v>
      </c>
      <c r="AA647" s="669" t="e">
        <f t="shared" ca="1" si="228"/>
        <v>#REF!</v>
      </c>
      <c r="AB647" s="641"/>
    </row>
    <row r="648" spans="1:28" ht="11.25" customHeight="1" x14ac:dyDescent="0.2">
      <c r="A648" s="984"/>
      <c r="B648" s="633">
        <v>15</v>
      </c>
      <c r="C648" s="634">
        <f t="shared" ca="1" si="229"/>
        <v>0</v>
      </c>
      <c r="D648" s="598">
        <f t="shared" ca="1" si="230"/>
        <v>0</v>
      </c>
      <c r="E648" s="650">
        <f t="shared" ca="1" si="231"/>
        <v>0</v>
      </c>
      <c r="F648" s="634"/>
      <c r="G648" s="598"/>
      <c r="H648" s="598"/>
      <c r="I648" s="634">
        <f t="shared" ca="1" si="219"/>
        <v>0</v>
      </c>
      <c r="J648" s="598">
        <f t="shared" ca="1" si="220"/>
        <v>0</v>
      </c>
      <c r="K648" s="598">
        <f t="shared" ca="1" si="221"/>
        <v>0</v>
      </c>
      <c r="L648" s="634">
        <f t="shared" ca="1" si="222"/>
        <v>0</v>
      </c>
      <c r="M648" s="598">
        <f t="shared" ca="1" si="223"/>
        <v>0</v>
      </c>
      <c r="N648" s="598">
        <f t="shared" ca="1" si="224"/>
        <v>0</v>
      </c>
      <c r="O648" s="635">
        <f t="shared" si="225"/>
        <v>0</v>
      </c>
      <c r="P648" s="636">
        <f t="shared" ca="1" si="226"/>
        <v>0</v>
      </c>
      <c r="Q648" s="637">
        <f t="shared" si="227"/>
        <v>52550.000000000044</v>
      </c>
      <c r="R648" s="638">
        <f t="shared" si="227"/>
        <v>81020.160000000062</v>
      </c>
      <c r="S648" s="639">
        <f t="shared" si="227"/>
        <v>84960.160000000062</v>
      </c>
      <c r="T648" s="637">
        <f t="shared" ref="T648:T653" ca="1" si="232">L648*$AH$6*AD$27</f>
        <v>0</v>
      </c>
      <c r="U648" s="640" t="e">
        <f ca="1">$AH$6*(1-AE$26)*((1+HLOOKUP($A$481,FC_Premissas!$D$5:$W$16,14,FALSE)^0.0833-1))*L648*12</f>
        <v>#REF!</v>
      </c>
      <c r="V648" s="638">
        <f t="shared" ref="V648:V653" ca="1" si="233">M648*$AP$6*AL$27</f>
        <v>0</v>
      </c>
      <c r="W648" s="669" t="e">
        <f ca="1">$AP$6*(1-AM$26)*((1+HLOOKUP($A$481,FC_Premissas!$D$5:$W$16,14,FALSE))^0.0833-1)*M648*12</f>
        <v>#REF!</v>
      </c>
      <c r="X648" s="637">
        <f t="shared" ref="X648:X653" ca="1" si="234">N648*$AX$6*AT$27</f>
        <v>0</v>
      </c>
      <c r="Y648" s="640" t="e">
        <f ca="1">$AX$6*(1-AU$26)*((1+HLOOKUP($A$481,FC_Premissas!$D$5:$W$16,14,FALSE))^0.0833-1)*N648*12</f>
        <v>#REF!</v>
      </c>
      <c r="Z648" s="638">
        <f t="shared" ca="1" si="228"/>
        <v>0</v>
      </c>
      <c r="AA648" s="640" t="e">
        <f t="shared" ca="1" si="228"/>
        <v>#REF!</v>
      </c>
      <c r="AB648" s="641"/>
    </row>
    <row r="649" spans="1:28" x14ac:dyDescent="0.2">
      <c r="A649" s="984"/>
      <c r="B649" s="633">
        <v>16</v>
      </c>
      <c r="C649" s="634">
        <f t="shared" ca="1" si="229"/>
        <v>0</v>
      </c>
      <c r="D649" s="598">
        <f t="shared" ca="1" si="230"/>
        <v>0</v>
      </c>
      <c r="E649" s="650">
        <f t="shared" ca="1" si="231"/>
        <v>0</v>
      </c>
      <c r="F649" s="634"/>
      <c r="G649" s="598"/>
      <c r="H649" s="598"/>
      <c r="I649" s="634">
        <f t="shared" ca="1" si="219"/>
        <v>0</v>
      </c>
      <c r="J649" s="598">
        <f t="shared" ca="1" si="220"/>
        <v>0</v>
      </c>
      <c r="K649" s="598">
        <f t="shared" ca="1" si="221"/>
        <v>0</v>
      </c>
      <c r="L649" s="634">
        <f t="shared" ca="1" si="222"/>
        <v>0</v>
      </c>
      <c r="M649" s="598">
        <f t="shared" ca="1" si="223"/>
        <v>0</v>
      </c>
      <c r="N649" s="598">
        <f t="shared" ca="1" si="224"/>
        <v>0</v>
      </c>
      <c r="O649" s="635">
        <f t="shared" si="225"/>
        <v>0</v>
      </c>
      <c r="P649" s="636">
        <f t="shared" ca="1" si="226"/>
        <v>0</v>
      </c>
      <c r="Q649" s="637">
        <f t="shared" ref="Q649:S653" si="235">Q249</f>
        <v>52550.000000000044</v>
      </c>
      <c r="R649" s="638">
        <f t="shared" si="235"/>
        <v>81020.160000000062</v>
      </c>
      <c r="S649" s="639">
        <f t="shared" si="235"/>
        <v>84960.160000000062</v>
      </c>
      <c r="T649" s="637">
        <f t="shared" ca="1" si="232"/>
        <v>0</v>
      </c>
      <c r="U649" s="640" t="e">
        <f ca="1">$AH$6*(1-AE$27)*((1+HLOOKUP($A$481,FC_Premissas!$D$5:$W$16,14,FALSE)^0.0833-1))*L649*12</f>
        <v>#REF!</v>
      </c>
      <c r="V649" s="638">
        <f t="shared" ca="1" si="233"/>
        <v>0</v>
      </c>
      <c r="W649" s="669" t="e">
        <f ca="1">$AP$6*(1-AM$27)*((1+HLOOKUP($A$481,FC_Premissas!$D$5:$W$16,14,FALSE))^0.0833-1)*M649*12</f>
        <v>#REF!</v>
      </c>
      <c r="X649" s="637">
        <f t="shared" ca="1" si="234"/>
        <v>0</v>
      </c>
      <c r="Y649" s="640" t="e">
        <f ca="1">$AX$6*(1-AU$27)*((1+HLOOKUP($A$481,FC_Premissas!$D$5:$W$16,14,FALSE))^0.0833-1)*N649*12</f>
        <v>#REF!</v>
      </c>
      <c r="Z649" s="638">
        <f t="shared" ca="1" si="228"/>
        <v>0</v>
      </c>
      <c r="AA649" s="640" t="e">
        <f t="shared" ca="1" si="228"/>
        <v>#REF!</v>
      </c>
      <c r="AB649" s="641"/>
    </row>
    <row r="650" spans="1:28" x14ac:dyDescent="0.2">
      <c r="A650" s="984"/>
      <c r="B650" s="633">
        <v>17</v>
      </c>
      <c r="C650" s="634">
        <f t="shared" ca="1" si="229"/>
        <v>0</v>
      </c>
      <c r="D650" s="598">
        <f t="shared" ca="1" si="230"/>
        <v>0</v>
      </c>
      <c r="E650" s="650">
        <f t="shared" ca="1" si="231"/>
        <v>0</v>
      </c>
      <c r="F650" s="634"/>
      <c r="G650" s="598"/>
      <c r="H650" s="598"/>
      <c r="I650" s="634">
        <f t="shared" ca="1" si="219"/>
        <v>0</v>
      </c>
      <c r="J650" s="598">
        <f t="shared" ca="1" si="220"/>
        <v>0</v>
      </c>
      <c r="K650" s="598">
        <f t="shared" ca="1" si="221"/>
        <v>0</v>
      </c>
      <c r="L650" s="634">
        <f t="shared" ca="1" si="222"/>
        <v>0</v>
      </c>
      <c r="M650" s="598">
        <f t="shared" ca="1" si="223"/>
        <v>0</v>
      </c>
      <c r="N650" s="598">
        <f t="shared" ca="1" si="224"/>
        <v>0</v>
      </c>
      <c r="O650" s="635">
        <f t="shared" si="225"/>
        <v>0</v>
      </c>
      <c r="P650" s="636">
        <f t="shared" ca="1" si="226"/>
        <v>0</v>
      </c>
      <c r="Q650" s="637">
        <f t="shared" si="235"/>
        <v>52550.000000000044</v>
      </c>
      <c r="R650" s="638">
        <f t="shared" si="235"/>
        <v>81020.160000000062</v>
      </c>
      <c r="S650" s="639">
        <f t="shared" si="235"/>
        <v>84960.160000000062</v>
      </c>
      <c r="T650" s="637">
        <f t="shared" ca="1" si="232"/>
        <v>0</v>
      </c>
      <c r="U650" s="640" t="e">
        <f ca="1">$AH$6*(1-AE$28)*((1+HLOOKUP($A$481,FC_Premissas!$D$5:$W$16,14,FALSE)^0.0833-1))*L650*12</f>
        <v>#REF!</v>
      </c>
      <c r="V650" s="638">
        <f t="shared" ca="1" si="233"/>
        <v>0</v>
      </c>
      <c r="W650" s="669" t="e">
        <f ca="1">$AP$6*(1-AM$28)*((1+HLOOKUP($A$481,FC_Premissas!$D$5:$W$16,14,FALSE))^0.0833-1)*M650*12</f>
        <v>#REF!</v>
      </c>
      <c r="X650" s="637">
        <f t="shared" ca="1" si="234"/>
        <v>0</v>
      </c>
      <c r="Y650" s="640" t="e">
        <f ca="1">$AX$6*(1-AU$28)*((1+HLOOKUP($A$481,FC_Premissas!$D$5:$W$16,14,FALSE))^0.0833-1)*N650*12</f>
        <v>#REF!</v>
      </c>
      <c r="Z650" s="638">
        <f t="shared" ca="1" si="228"/>
        <v>0</v>
      </c>
      <c r="AA650" s="640" t="e">
        <f t="shared" ca="1" si="228"/>
        <v>#REF!</v>
      </c>
      <c r="AB650" s="641"/>
    </row>
    <row r="651" spans="1:28" x14ac:dyDescent="0.2">
      <c r="A651" s="984"/>
      <c r="B651" s="633">
        <v>18</v>
      </c>
      <c r="C651" s="634">
        <f t="shared" ca="1" si="229"/>
        <v>0</v>
      </c>
      <c r="D651" s="598">
        <f t="shared" ca="1" si="230"/>
        <v>0</v>
      </c>
      <c r="E651" s="650">
        <f t="shared" ca="1" si="231"/>
        <v>0</v>
      </c>
      <c r="F651" s="634"/>
      <c r="G651" s="598"/>
      <c r="H651" s="598"/>
      <c r="I651" s="634">
        <f t="shared" ca="1" si="219"/>
        <v>0</v>
      </c>
      <c r="J651" s="598">
        <f t="shared" ca="1" si="220"/>
        <v>0</v>
      </c>
      <c r="K651" s="598">
        <f t="shared" ca="1" si="221"/>
        <v>0</v>
      </c>
      <c r="L651" s="634">
        <f t="shared" ca="1" si="222"/>
        <v>0</v>
      </c>
      <c r="M651" s="598">
        <f t="shared" ca="1" si="223"/>
        <v>0</v>
      </c>
      <c r="N651" s="598">
        <f t="shared" ca="1" si="224"/>
        <v>0</v>
      </c>
      <c r="O651" s="635">
        <f t="shared" si="225"/>
        <v>0</v>
      </c>
      <c r="P651" s="636">
        <f t="shared" ca="1" si="226"/>
        <v>0</v>
      </c>
      <c r="Q651" s="637">
        <f t="shared" si="235"/>
        <v>52550.000000000044</v>
      </c>
      <c r="R651" s="638">
        <f t="shared" si="235"/>
        <v>81020.160000000062</v>
      </c>
      <c r="S651" s="639">
        <f t="shared" si="235"/>
        <v>84960.160000000062</v>
      </c>
      <c r="T651" s="637">
        <f t="shared" ca="1" si="232"/>
        <v>0</v>
      </c>
      <c r="U651" s="640" t="e">
        <f ca="1">$AH$6*(1-AE$29)*((1+HLOOKUP($A$481,FC_Premissas!$D$5:$W$16,14,FALSE)^0.0833-1))*L651*12</f>
        <v>#REF!</v>
      </c>
      <c r="V651" s="638">
        <f t="shared" ca="1" si="233"/>
        <v>0</v>
      </c>
      <c r="W651" s="669" t="e">
        <f ca="1">$AP$6*(1-AM$29)*((1+HLOOKUP($A$481,FC_Premissas!$D$5:$W$16,14,FALSE))^0.0833-1)*M651*12</f>
        <v>#REF!</v>
      </c>
      <c r="X651" s="637">
        <f t="shared" ca="1" si="234"/>
        <v>0</v>
      </c>
      <c r="Y651" s="640" t="e">
        <f ca="1">$AX$6*(1-AU$29)*((1+HLOOKUP($A$481,FC_Premissas!$D$5:$W$16,14,FALSE))^0.0833-1)*N651*12</f>
        <v>#REF!</v>
      </c>
      <c r="Z651" s="638">
        <f t="shared" ca="1" si="228"/>
        <v>0</v>
      </c>
      <c r="AA651" s="640" t="e">
        <f t="shared" ca="1" si="228"/>
        <v>#REF!</v>
      </c>
      <c r="AB651" s="641"/>
    </row>
    <row r="652" spans="1:28" x14ac:dyDescent="0.2">
      <c r="A652" s="984"/>
      <c r="B652" s="633">
        <v>19</v>
      </c>
      <c r="C652" s="634">
        <f t="shared" ca="1" si="229"/>
        <v>0</v>
      </c>
      <c r="D652" s="598">
        <f t="shared" ca="1" si="230"/>
        <v>0</v>
      </c>
      <c r="E652" s="650">
        <f t="shared" ca="1" si="231"/>
        <v>0</v>
      </c>
      <c r="F652" s="634"/>
      <c r="G652" s="598"/>
      <c r="H652" s="598"/>
      <c r="I652" s="634">
        <f t="shared" ca="1" si="219"/>
        <v>0</v>
      </c>
      <c r="J652" s="598">
        <f t="shared" ca="1" si="220"/>
        <v>0</v>
      </c>
      <c r="K652" s="598">
        <f t="shared" ca="1" si="221"/>
        <v>0</v>
      </c>
      <c r="L652" s="634">
        <f t="shared" ca="1" si="222"/>
        <v>0</v>
      </c>
      <c r="M652" s="598">
        <f t="shared" ca="1" si="223"/>
        <v>0</v>
      </c>
      <c r="N652" s="598">
        <f t="shared" ca="1" si="224"/>
        <v>0</v>
      </c>
      <c r="O652" s="635">
        <f t="shared" si="225"/>
        <v>0</v>
      </c>
      <c r="P652" s="636">
        <f t="shared" ca="1" si="226"/>
        <v>0</v>
      </c>
      <c r="Q652" s="637">
        <f t="shared" si="235"/>
        <v>52550.000000000044</v>
      </c>
      <c r="R652" s="638">
        <f t="shared" si="235"/>
        <v>81020.160000000062</v>
      </c>
      <c r="S652" s="639">
        <f t="shared" si="235"/>
        <v>84960.160000000062</v>
      </c>
      <c r="T652" s="637">
        <f t="shared" ca="1" si="232"/>
        <v>0</v>
      </c>
      <c r="U652" s="640" t="e">
        <f ca="1">$AH$6*(1-AE$30)*((1+HLOOKUP($A$481,FC_Premissas!$D$5:$W$16,14,FALSE)^0.0833-1))*L652*12</f>
        <v>#REF!</v>
      </c>
      <c r="V652" s="638">
        <f t="shared" ca="1" si="233"/>
        <v>0</v>
      </c>
      <c r="W652" s="669" t="e">
        <f ca="1">$AP$6*(1-AM$30)*((1+HLOOKUP($A$481,FC_Premissas!$D$5:$W$16,14,FALSE))^0.0833-1)*M652*12</f>
        <v>#REF!</v>
      </c>
      <c r="X652" s="637">
        <f t="shared" ca="1" si="234"/>
        <v>0</v>
      </c>
      <c r="Y652" s="640" t="e">
        <f ca="1">$AX$6*(1-AU$30)*((1+HLOOKUP($A$481,FC_Premissas!$D$5:$W$16,14,FALSE))^0.0833-1)*N652*12</f>
        <v>#REF!</v>
      </c>
      <c r="Z652" s="638">
        <f t="shared" ca="1" si="228"/>
        <v>0</v>
      </c>
      <c r="AA652" s="640" t="e">
        <f t="shared" ca="1" si="228"/>
        <v>#REF!</v>
      </c>
      <c r="AB652" s="641"/>
    </row>
    <row r="653" spans="1:28" x14ac:dyDescent="0.2">
      <c r="A653" s="984"/>
      <c r="B653" s="633">
        <v>20</v>
      </c>
      <c r="C653" s="616">
        <f t="shared" ca="1" si="229"/>
        <v>0</v>
      </c>
      <c r="D653" s="617">
        <f t="shared" ca="1" si="230"/>
        <v>0</v>
      </c>
      <c r="E653" s="650">
        <f t="shared" ca="1" si="231"/>
        <v>0</v>
      </c>
      <c r="F653" s="616"/>
      <c r="G653" s="617"/>
      <c r="H653" s="598"/>
      <c r="I653" s="616">
        <f t="shared" ca="1" si="219"/>
        <v>0</v>
      </c>
      <c r="J653" s="617">
        <f t="shared" ca="1" si="220"/>
        <v>0</v>
      </c>
      <c r="K653" s="598">
        <f t="shared" ca="1" si="221"/>
        <v>0</v>
      </c>
      <c r="L653" s="616">
        <f t="shared" ca="1" si="222"/>
        <v>0</v>
      </c>
      <c r="M653" s="617">
        <f t="shared" ca="1" si="223"/>
        <v>0</v>
      </c>
      <c r="N653" s="598">
        <f t="shared" ca="1" si="224"/>
        <v>0</v>
      </c>
      <c r="O653" s="635">
        <f t="shared" si="225"/>
        <v>0</v>
      </c>
      <c r="P653" s="636">
        <f t="shared" ca="1" si="226"/>
        <v>0</v>
      </c>
      <c r="Q653" s="651">
        <f t="shared" si="235"/>
        <v>52550.000000000044</v>
      </c>
      <c r="R653" s="652">
        <f t="shared" si="235"/>
        <v>81020.160000000062</v>
      </c>
      <c r="S653" s="653">
        <f t="shared" si="235"/>
        <v>84960.160000000062</v>
      </c>
      <c r="T653" s="651">
        <f t="shared" ca="1" si="232"/>
        <v>0</v>
      </c>
      <c r="U653" s="654" t="e">
        <f ca="1">$AH$6*(1-AE$31)*((1+HLOOKUP($A$481,FC_Premissas!$D$5:$W$16,14,FALSE)^0.0833-1))*L653*12</f>
        <v>#REF!</v>
      </c>
      <c r="V653" s="652">
        <f t="shared" ca="1" si="233"/>
        <v>0</v>
      </c>
      <c r="W653" s="678" t="e">
        <f ca="1">$AP$6*(1-AM$31)*((1+HLOOKUP($A$481,FC_Premissas!$D$5:$W$16,14,FALSE))^0.0833-1)*M653*12</f>
        <v>#REF!</v>
      </c>
      <c r="X653" s="651">
        <f t="shared" ca="1" si="234"/>
        <v>0</v>
      </c>
      <c r="Y653" s="654" t="e">
        <f ca="1">$AX$6*(1-AU$31)*((1+HLOOKUP($A$481,FC_Premissas!$D$5:$W$16,14,FALSE))^0.0833-1)*N653*12</f>
        <v>#REF!</v>
      </c>
      <c r="Z653" s="652">
        <f t="shared" ca="1" si="228"/>
        <v>0</v>
      </c>
      <c r="AA653" s="654" t="e">
        <f t="shared" ca="1" si="228"/>
        <v>#REF!</v>
      </c>
      <c r="AB653" s="641"/>
    </row>
    <row r="654" spans="1:28" x14ac:dyDescent="0.2">
      <c r="A654" s="984"/>
      <c r="B654" s="655" t="s">
        <v>1228</v>
      </c>
      <c r="C654" s="656">
        <f t="shared" ref="C654:P654" ca="1" si="236">SUM(C633:C653)</f>
        <v>0</v>
      </c>
      <c r="D654" s="657">
        <f t="shared" ca="1" si="236"/>
        <v>0</v>
      </c>
      <c r="E654" s="658">
        <f t="shared" ca="1" si="236"/>
        <v>11</v>
      </c>
      <c r="F654" s="656">
        <f t="shared" si="236"/>
        <v>0</v>
      </c>
      <c r="G654" s="657">
        <f t="shared" si="236"/>
        <v>0</v>
      </c>
      <c r="H654" s="658">
        <f t="shared" si="236"/>
        <v>0</v>
      </c>
      <c r="I654" s="656">
        <f t="shared" ca="1" si="236"/>
        <v>0</v>
      </c>
      <c r="J654" s="657">
        <f t="shared" ca="1" si="236"/>
        <v>0</v>
      </c>
      <c r="K654" s="658">
        <f t="shared" ca="1" si="236"/>
        <v>11</v>
      </c>
      <c r="L654" s="656">
        <f t="shared" ca="1" si="236"/>
        <v>0</v>
      </c>
      <c r="M654" s="657">
        <f t="shared" ca="1" si="236"/>
        <v>0</v>
      </c>
      <c r="N654" s="657">
        <f t="shared" ca="1" si="236"/>
        <v>0</v>
      </c>
      <c r="O654" s="659">
        <f t="shared" si="236"/>
        <v>0</v>
      </c>
      <c r="P654" s="660">
        <f t="shared" ca="1" si="236"/>
        <v>1269665.678545455</v>
      </c>
      <c r="Q654" s="638"/>
      <c r="R654" s="638"/>
      <c r="S654" s="638"/>
      <c r="T654" s="661">
        <f t="shared" ref="T654:AA654" ca="1" si="237">SUM(T633:T653)</f>
        <v>0</v>
      </c>
      <c r="U654" s="662" t="e">
        <f t="shared" si="237"/>
        <v>#REF!</v>
      </c>
      <c r="V654" s="663">
        <f t="shared" ca="1" si="237"/>
        <v>0</v>
      </c>
      <c r="W654" s="662" t="e">
        <f t="shared" si="237"/>
        <v>#REF!</v>
      </c>
      <c r="X654" s="663">
        <f t="shared" ca="1" si="237"/>
        <v>0</v>
      </c>
      <c r="Y654" s="662" t="e">
        <f t="shared" si="237"/>
        <v>#REF!</v>
      </c>
      <c r="Z654" s="663">
        <f t="shared" ca="1" si="237"/>
        <v>0</v>
      </c>
      <c r="AA654" s="664" t="e">
        <f t="shared" si="237"/>
        <v>#REF!</v>
      </c>
      <c r="AB654" s="641"/>
    </row>
    <row r="655" spans="1:28" x14ac:dyDescent="0.2">
      <c r="A655" s="985"/>
      <c r="B655" s="977"/>
      <c r="C655" s="977"/>
      <c r="D655" s="977"/>
      <c r="E655" s="666"/>
      <c r="F655" s="665"/>
      <c r="G655" s="665"/>
      <c r="H655" s="665"/>
      <c r="I655" s="665"/>
      <c r="J655" s="665"/>
      <c r="K655" s="665"/>
      <c r="L655" s="887"/>
      <c r="M655" s="887"/>
      <c r="N655" s="887"/>
      <c r="O655" s="667"/>
      <c r="P655" s="668"/>
      <c r="Q655" s="638"/>
      <c r="R655" s="638"/>
      <c r="S655" s="638"/>
      <c r="T655" s="638"/>
      <c r="U655" s="669"/>
      <c r="V655" s="638"/>
      <c r="W655" s="669"/>
      <c r="X655" s="638"/>
      <c r="Y655" s="669"/>
      <c r="Z655" s="638"/>
      <c r="AA655" s="669"/>
    </row>
    <row r="656" spans="1:28" x14ac:dyDescent="0.2">
      <c r="Z656" s="683"/>
      <c r="AA656" s="684"/>
    </row>
    <row r="657" spans="4:27" x14ac:dyDescent="0.2">
      <c r="Z657" s="683"/>
      <c r="AA657" s="684"/>
    </row>
    <row r="659" spans="4:27" x14ac:dyDescent="0.2">
      <c r="D659" s="602"/>
    </row>
    <row r="661" spans="4:27" x14ac:dyDescent="0.2">
      <c r="Z661" s="683"/>
    </row>
  </sheetData>
  <sheetProtection algorithmName="SHA-512" hashValue="9aR8cjf+Vo9RrOiNpouQrp4Qhjahpzv4xp2cUt0zmdlavhQGhPKKDQsfsuJX5t57crTTTu0YIJjVOJ6u1lumPg==" saltValue="SNes/GjCtN0ol4iqd5qRwg==" spinCount="100000" sheet="1" objects="1" scenarios="1"/>
  <mergeCells count="243">
    <mergeCell ref="Q6:S6"/>
    <mergeCell ref="AB6:AB7"/>
    <mergeCell ref="AE9:AF9"/>
    <mergeCell ref="AG9:AI9"/>
    <mergeCell ref="AM9:AN9"/>
    <mergeCell ref="AO9:AQ9"/>
    <mergeCell ref="A4:N4"/>
    <mergeCell ref="A5:P5"/>
    <mergeCell ref="A6:A30"/>
    <mergeCell ref="B6:B7"/>
    <mergeCell ref="C6:E6"/>
    <mergeCell ref="F6:H6"/>
    <mergeCell ref="I6:K6"/>
    <mergeCell ref="L6:N6"/>
    <mergeCell ref="O6:P6"/>
    <mergeCell ref="AU9:AV9"/>
    <mergeCell ref="AW9:AY9"/>
    <mergeCell ref="B30:D30"/>
    <mergeCell ref="A31:A55"/>
    <mergeCell ref="B31:B32"/>
    <mergeCell ref="C31:E31"/>
    <mergeCell ref="F31:H31"/>
    <mergeCell ref="I31:K31"/>
    <mergeCell ref="L31:N31"/>
    <mergeCell ref="O31:P31"/>
    <mergeCell ref="B80:D80"/>
    <mergeCell ref="A81:A105"/>
    <mergeCell ref="B81:B82"/>
    <mergeCell ref="C81:E81"/>
    <mergeCell ref="F81:H81"/>
    <mergeCell ref="I81:K81"/>
    <mergeCell ref="Q31:S31"/>
    <mergeCell ref="B55:D55"/>
    <mergeCell ref="A56:A80"/>
    <mergeCell ref="B56:B57"/>
    <mergeCell ref="C56:E56"/>
    <mergeCell ref="F56:H56"/>
    <mergeCell ref="I56:K56"/>
    <mergeCell ref="L56:N56"/>
    <mergeCell ref="O56:P56"/>
    <mergeCell ref="Q56:S56"/>
    <mergeCell ref="L81:N81"/>
    <mergeCell ref="O81:P81"/>
    <mergeCell ref="Q81:S81"/>
    <mergeCell ref="B105:D105"/>
    <mergeCell ref="A106:A130"/>
    <mergeCell ref="B106:B107"/>
    <mergeCell ref="C106:E106"/>
    <mergeCell ref="F106:H106"/>
    <mergeCell ref="I106:K106"/>
    <mergeCell ref="L106:N106"/>
    <mergeCell ref="O106:P106"/>
    <mergeCell ref="Q106:S106"/>
    <mergeCell ref="B130:D130"/>
    <mergeCell ref="Q131:S131"/>
    <mergeCell ref="B155:D155"/>
    <mergeCell ref="A156:A180"/>
    <mergeCell ref="B156:B157"/>
    <mergeCell ref="C156:E156"/>
    <mergeCell ref="F156:H156"/>
    <mergeCell ref="I156:K156"/>
    <mergeCell ref="L156:N156"/>
    <mergeCell ref="O156:P156"/>
    <mergeCell ref="Q156:S156"/>
    <mergeCell ref="A131:A155"/>
    <mergeCell ref="B131:B132"/>
    <mergeCell ref="C131:E131"/>
    <mergeCell ref="F131:H131"/>
    <mergeCell ref="I131:K131"/>
    <mergeCell ref="L131:N131"/>
    <mergeCell ref="O131:P131"/>
    <mergeCell ref="B180:D180"/>
    <mergeCell ref="Q181:S181"/>
    <mergeCell ref="B205:D205"/>
    <mergeCell ref="A206:A230"/>
    <mergeCell ref="B206:B207"/>
    <mergeCell ref="C206:E206"/>
    <mergeCell ref="F206:H206"/>
    <mergeCell ref="I206:K206"/>
    <mergeCell ref="L206:N206"/>
    <mergeCell ref="O206:P206"/>
    <mergeCell ref="Q206:S206"/>
    <mergeCell ref="B230:D230"/>
    <mergeCell ref="A181:A205"/>
    <mergeCell ref="B181:B182"/>
    <mergeCell ref="C181:E181"/>
    <mergeCell ref="F181:H181"/>
    <mergeCell ref="I181:K181"/>
    <mergeCell ref="L181:N181"/>
    <mergeCell ref="O181:P181"/>
    <mergeCell ref="Q231:S231"/>
    <mergeCell ref="B255:D255"/>
    <mergeCell ref="A256:A280"/>
    <mergeCell ref="B256:B257"/>
    <mergeCell ref="C256:E256"/>
    <mergeCell ref="F256:H256"/>
    <mergeCell ref="I256:K256"/>
    <mergeCell ref="L256:N256"/>
    <mergeCell ref="O256:P256"/>
    <mergeCell ref="Q256:S256"/>
    <mergeCell ref="A231:A255"/>
    <mergeCell ref="B231:B232"/>
    <mergeCell ref="C231:E231"/>
    <mergeCell ref="F231:H231"/>
    <mergeCell ref="I231:K231"/>
    <mergeCell ref="L231:N231"/>
    <mergeCell ref="O231:P231"/>
    <mergeCell ref="B280:D280"/>
    <mergeCell ref="Q281:S281"/>
    <mergeCell ref="B305:D305"/>
    <mergeCell ref="A306:A330"/>
    <mergeCell ref="B306:B307"/>
    <mergeCell ref="C306:E306"/>
    <mergeCell ref="F306:H306"/>
    <mergeCell ref="I306:K306"/>
    <mergeCell ref="L306:N306"/>
    <mergeCell ref="O306:P306"/>
    <mergeCell ref="Q306:S306"/>
    <mergeCell ref="B330:D330"/>
    <mergeCell ref="A281:A305"/>
    <mergeCell ref="B281:B282"/>
    <mergeCell ref="C281:E281"/>
    <mergeCell ref="F281:H281"/>
    <mergeCell ref="I281:K281"/>
    <mergeCell ref="L281:N281"/>
    <mergeCell ref="O281:P281"/>
    <mergeCell ref="Q331:S331"/>
    <mergeCell ref="B355:D355"/>
    <mergeCell ref="A356:A380"/>
    <mergeCell ref="B356:B357"/>
    <mergeCell ref="C356:E356"/>
    <mergeCell ref="F356:H356"/>
    <mergeCell ref="I356:K356"/>
    <mergeCell ref="L356:N356"/>
    <mergeCell ref="O356:P356"/>
    <mergeCell ref="Q356:S356"/>
    <mergeCell ref="A331:A355"/>
    <mergeCell ref="B331:B332"/>
    <mergeCell ref="C331:E331"/>
    <mergeCell ref="F331:H331"/>
    <mergeCell ref="I331:K331"/>
    <mergeCell ref="L331:N331"/>
    <mergeCell ref="O331:P331"/>
    <mergeCell ref="B380:D380"/>
    <mergeCell ref="Q381:S381"/>
    <mergeCell ref="B405:D405"/>
    <mergeCell ref="A406:A430"/>
    <mergeCell ref="B406:B407"/>
    <mergeCell ref="C406:E406"/>
    <mergeCell ref="F406:H406"/>
    <mergeCell ref="I406:K406"/>
    <mergeCell ref="L406:N406"/>
    <mergeCell ref="O406:P406"/>
    <mergeCell ref="Q406:S406"/>
    <mergeCell ref="B430:D430"/>
    <mergeCell ref="A381:A405"/>
    <mergeCell ref="B381:B382"/>
    <mergeCell ref="C381:E381"/>
    <mergeCell ref="F381:H381"/>
    <mergeCell ref="I381:K381"/>
    <mergeCell ref="L381:N381"/>
    <mergeCell ref="O381:P381"/>
    <mergeCell ref="Q431:S431"/>
    <mergeCell ref="B455:D455"/>
    <mergeCell ref="A456:A480"/>
    <mergeCell ref="B456:B457"/>
    <mergeCell ref="C456:E456"/>
    <mergeCell ref="F456:H456"/>
    <mergeCell ref="I456:K456"/>
    <mergeCell ref="L456:N456"/>
    <mergeCell ref="O456:P456"/>
    <mergeCell ref="Q456:S456"/>
    <mergeCell ref="A431:A455"/>
    <mergeCell ref="B431:B432"/>
    <mergeCell ref="C431:E431"/>
    <mergeCell ref="F431:H431"/>
    <mergeCell ref="I431:K431"/>
    <mergeCell ref="L431:N431"/>
    <mergeCell ref="O431:P431"/>
    <mergeCell ref="B480:D480"/>
    <mergeCell ref="Q481:S481"/>
    <mergeCell ref="B505:D505"/>
    <mergeCell ref="A506:A530"/>
    <mergeCell ref="B506:B507"/>
    <mergeCell ref="C506:E506"/>
    <mergeCell ref="F506:H506"/>
    <mergeCell ref="I506:K506"/>
    <mergeCell ref="L506:N506"/>
    <mergeCell ref="O506:P506"/>
    <mergeCell ref="Q506:S506"/>
    <mergeCell ref="B530:D530"/>
    <mergeCell ref="A481:A505"/>
    <mergeCell ref="B481:B482"/>
    <mergeCell ref="C481:E481"/>
    <mergeCell ref="F481:H481"/>
    <mergeCell ref="I481:K481"/>
    <mergeCell ref="L481:N481"/>
    <mergeCell ref="O481:P481"/>
    <mergeCell ref="Q531:S531"/>
    <mergeCell ref="B555:D555"/>
    <mergeCell ref="A556:A580"/>
    <mergeCell ref="B556:B557"/>
    <mergeCell ref="C556:E556"/>
    <mergeCell ref="F556:H556"/>
    <mergeCell ref="I556:K556"/>
    <mergeCell ref="L556:N556"/>
    <mergeCell ref="O556:P556"/>
    <mergeCell ref="Q556:S556"/>
    <mergeCell ref="A531:A555"/>
    <mergeCell ref="B531:B532"/>
    <mergeCell ref="C531:E531"/>
    <mergeCell ref="F531:H531"/>
    <mergeCell ref="I531:K531"/>
    <mergeCell ref="L531:N531"/>
    <mergeCell ref="O531:P531"/>
    <mergeCell ref="B580:D580"/>
    <mergeCell ref="Q581:S581"/>
    <mergeCell ref="B605:D605"/>
    <mergeCell ref="A606:A630"/>
    <mergeCell ref="B606:B607"/>
    <mergeCell ref="C606:E606"/>
    <mergeCell ref="F606:H606"/>
    <mergeCell ref="I606:K606"/>
    <mergeCell ref="L606:N606"/>
    <mergeCell ref="Q631:S631"/>
    <mergeCell ref="A581:A605"/>
    <mergeCell ref="B581:B582"/>
    <mergeCell ref="C581:E581"/>
    <mergeCell ref="F581:H581"/>
    <mergeCell ref="I581:K581"/>
    <mergeCell ref="L581:N581"/>
    <mergeCell ref="O581:P581"/>
    <mergeCell ref="B655:D655"/>
    <mergeCell ref="O606:P606"/>
    <mergeCell ref="Q606:S606"/>
    <mergeCell ref="B630:D630"/>
    <mergeCell ref="A631:A655"/>
    <mergeCell ref="B631:B632"/>
    <mergeCell ref="C631:E631"/>
    <mergeCell ref="F631:H631"/>
    <mergeCell ref="I631:K631"/>
    <mergeCell ref="L631:N631"/>
    <mergeCell ref="O631:P631"/>
  </mergeCells>
  <conditionalFormatting sqref="I631 C631 F631 L631 Z661 Q644:S647 AB56:AB68 A6 AB106:AB118 AB156:AB168 AB206:AB218 L6 I6 F56 L56 F81 L81 F106 L106 I131 C131 I156 C156 I181 C181 I206 C206 I231 C231 Q6:Q7 I56 I81 I106 Q144:S147 Q194:S197 Q219:S222 F31 L31 I31 C56 Q69:S72 C81 Q94:S97 C106 Q119:S122 F131 L131 F156 L156 F181 L181 F206 L206 F231 L231 F6 R7:S7 Q244:S247 AB82 AB132 AB182 AB232 AB632 AB6 C633:P645 Q169:S172 C6:C20 B6:B32 AB8:AB30 Q19:S28 Q44:S55 Q29:AA30 Z55:AA55 C30:C31 F29:N29 Z108:AA122 Z656:AA657 T6:AA28 M8:N8 D30:N30 D7:E20 I9:N10 F25:K28 I11:K24 I8:K8 F8:H24 O6:P32 B46:B57 F54:N54 C55:N55 F47:K53 O46:P57 B71:B82 F79:N79 C80:N80 O71:P82 B96:B107 F104:N104 C105:N105 O96:P107 B121:B132 F129:N129 C130:N130 O121:P132 B146:B157 F154:N154 C155:N155 O146:P157 B171:B182 F179:N179 C180:N180 O171:P182 B196:B207 F204:N204 C205:N205 O196:P207 B221:B232 F229:N229 C230:N230 O221:P232 F629:N629 C630:N630 F621:K628 O621:P630 B621:B655 F654:N654 C655:N655 F646:K653 O646:P655 F72:K78 F97:K103 F122:K128 F147:K153 F172:K178 F197:K203 F222:K228 F121:J121 F96:J96 F71:J71 F46:J46 F146:J146 F171:J171 F196:J196 F221:J221">
    <cfRule type="expression" dxfId="732" priority="880" stopIfTrue="1">
      <formula>"mod($A1;2)=0"</formula>
    </cfRule>
  </conditionalFormatting>
  <conditionalFormatting sqref="T55:Y55">
    <cfRule type="expression" dxfId="731" priority="879" stopIfTrue="1">
      <formula>"mod($A1;2)=0"</formula>
    </cfRule>
  </conditionalFormatting>
  <conditionalFormatting sqref="T108:Y122">
    <cfRule type="expression" dxfId="730" priority="878" stopIfTrue="1">
      <formula>"mod($A1;2)=0"</formula>
    </cfRule>
  </conditionalFormatting>
  <conditionalFormatting sqref="F7 H7">
    <cfRule type="expression" dxfId="729" priority="877" stopIfTrue="1">
      <formula>"mod($A1;2)=0"</formula>
    </cfRule>
  </conditionalFormatting>
  <conditionalFormatting sqref="A631 Q633:S643 A81 A31 A131 A231 A181 AB31:AB55 A56 A106 A156 A206 AB69:AB98 AB119:AB123 AB169:AB198 Q208:S218 Q158:S168 Q108:S118 Q58:S68 Q8:S18 Q83:S93 Q133:S143 Q183:S193 Q233:S243 Q33:S43 AB219:AB223 AB104:AB105 AB129:AB148 AB154:AB155 AB204:AB205 AB229:AB248 AB254:AB255 AB654:AB655 AB631:AB648">
    <cfRule type="expression" dxfId="728" priority="881" stopIfTrue="1">
      <formula>"mod($A13;2)=0"</formula>
    </cfRule>
  </conditionalFormatting>
  <conditionalFormatting sqref="AK6:AK7">
    <cfRule type="expression" dxfId="727" priority="876" stopIfTrue="1">
      <formula>"mod($A1;2)=0"</formula>
    </cfRule>
  </conditionalFormatting>
  <conditionalFormatting sqref="AC6:AC7">
    <cfRule type="expression" dxfId="726" priority="875" stopIfTrue="1">
      <formula>"mod($A1;2)=0"</formula>
    </cfRule>
  </conditionalFormatting>
  <conditionalFormatting sqref="AS6:AS7">
    <cfRule type="expression" dxfId="725" priority="874" stopIfTrue="1">
      <formula>"mod($A1;2)=0"</formula>
    </cfRule>
  </conditionalFormatting>
  <conditionalFormatting sqref="I306 C306 F306 L306 Q319:S322 B306:B307 AB307 O306:P307">
    <cfRule type="expression" dxfId="724" priority="822" stopIfTrue="1">
      <formula>"mod($A1;2)=0"</formula>
    </cfRule>
  </conditionalFormatting>
  <conditionalFormatting sqref="C29:E29">
    <cfRule type="expression" dxfId="723" priority="873" stopIfTrue="1">
      <formula>"mod($A1;2)=0"</formula>
    </cfRule>
  </conditionalFormatting>
  <conditionalFormatting sqref="T304:AA304">
    <cfRule type="expression" dxfId="722" priority="738" stopIfTrue="1">
      <formula>"mod($A1;2)=0"</formula>
    </cfRule>
  </conditionalFormatting>
  <conditionalFormatting sqref="Q148:S155 Z155:AA155">
    <cfRule type="expression" dxfId="721" priority="854" stopIfTrue="1">
      <formula>"mod($A1;2)=0"</formula>
    </cfRule>
  </conditionalFormatting>
  <conditionalFormatting sqref="T155:Y155">
    <cfRule type="expression" dxfId="720" priority="853" stopIfTrue="1">
      <formula>"mod($A1;2)=0"</formula>
    </cfRule>
  </conditionalFormatting>
  <conditionalFormatting sqref="AB99:AB103">
    <cfRule type="expression" dxfId="719" priority="871" stopIfTrue="1">
      <formula>"mod($A13;2)=0"</formula>
    </cfRule>
  </conditionalFormatting>
  <conditionalFormatting sqref="T298:Y303">
    <cfRule type="expression" dxfId="718" priority="739" stopIfTrue="1">
      <formula>"mod($A1;2)=0"</formula>
    </cfRule>
  </conditionalFormatting>
  <conditionalFormatting sqref="AB124:AB128">
    <cfRule type="expression" dxfId="717" priority="870" stopIfTrue="1">
      <formula>"mod($A13;2)=0"</formula>
    </cfRule>
  </conditionalFormatting>
  <conditionalFormatting sqref="T123:Y128 T130:Y130">
    <cfRule type="expression" dxfId="716" priority="857" stopIfTrue="1">
      <formula>"mod($A1;2)=0"</formula>
    </cfRule>
  </conditionalFormatting>
  <conditionalFormatting sqref="T129:AA129">
    <cfRule type="expression" dxfId="715" priority="856" stopIfTrue="1">
      <formula>"mod($A1;2)=0"</formula>
    </cfRule>
  </conditionalFormatting>
  <conditionalFormatting sqref="AB149:AB153">
    <cfRule type="expression" dxfId="714" priority="869" stopIfTrue="1">
      <formula>"mod($A13;2)=0"</formula>
    </cfRule>
  </conditionalFormatting>
  <conditionalFormatting sqref="T323:Y328">
    <cfRule type="expression" dxfId="713" priority="734" stopIfTrue="1">
      <formula>"mod($A1;2)=0"</formula>
    </cfRule>
  </conditionalFormatting>
  <conditionalFormatting sqref="Q98:S105 Z105:AA105">
    <cfRule type="expression" dxfId="712" priority="861" stopIfTrue="1">
      <formula>"mod($A1;2)=0"</formula>
    </cfRule>
  </conditionalFormatting>
  <conditionalFormatting sqref="AB199:AB203">
    <cfRule type="expression" dxfId="711" priority="868" stopIfTrue="1">
      <formula>"mod($A13;2)=0"</formula>
    </cfRule>
  </conditionalFormatting>
  <conditionalFormatting sqref="AB224:AB228">
    <cfRule type="expression" dxfId="710" priority="867" stopIfTrue="1">
      <formula>"mod($A13;2)=0"</formula>
    </cfRule>
  </conditionalFormatting>
  <conditionalFormatting sqref="Q73:S80 Z80:AA80">
    <cfRule type="expression" dxfId="709" priority="864" stopIfTrue="1">
      <formula>"mod($A1;2)=0"</formula>
    </cfRule>
  </conditionalFormatting>
  <conditionalFormatting sqref="T80:Y80">
    <cfRule type="expression" dxfId="708" priority="863" stopIfTrue="1">
      <formula>"mod($A1;2)=0"</formula>
    </cfRule>
  </conditionalFormatting>
  <conditionalFormatting sqref="AB249:AB253">
    <cfRule type="expression" dxfId="707" priority="866" stopIfTrue="1">
      <formula>"mod($A13;2)=0"</formula>
    </cfRule>
  </conditionalFormatting>
  <conditionalFormatting sqref="Z273:AA278">
    <cfRule type="expression" dxfId="706" priority="745" stopIfTrue="1">
      <formula>"mod($A1;2)=0"</formula>
    </cfRule>
  </conditionalFormatting>
  <conditionalFormatting sqref="Q198:S205 Z205:AA205">
    <cfRule type="expression" dxfId="705" priority="848" stopIfTrue="1">
      <formula>"mod($A1;2)=0"</formula>
    </cfRule>
  </conditionalFormatting>
  <conditionalFormatting sqref="AB649:AB653">
    <cfRule type="expression" dxfId="704" priority="865" stopIfTrue="1">
      <formula>"mod($A13;2)=0"</formula>
    </cfRule>
  </conditionalFormatting>
  <conditionalFormatting sqref="Q648:S655 Z655:AA655">
    <cfRule type="expression" dxfId="703" priority="839" stopIfTrue="1">
      <formula>"mod($A1;2)=0"</formula>
    </cfRule>
  </conditionalFormatting>
  <conditionalFormatting sqref="T655:Y655">
    <cfRule type="expression" dxfId="702" priority="838" stopIfTrue="1">
      <formula>"mod($A1;2)=0"</formula>
    </cfRule>
  </conditionalFormatting>
  <conditionalFormatting sqref="T205:Y205">
    <cfRule type="expression" dxfId="701" priority="847" stopIfTrue="1">
      <formula>"mod($A1;2)=0"</formula>
    </cfRule>
  </conditionalFormatting>
  <conditionalFormatting sqref="T254:AA254">
    <cfRule type="expression" dxfId="700" priority="748" stopIfTrue="1">
      <formula>"mod($A1;2)=0"</formula>
    </cfRule>
  </conditionalFormatting>
  <conditionalFormatting sqref="T105:Y105">
    <cfRule type="expression" dxfId="699" priority="860" stopIfTrue="1">
      <formula>"mod($A1;2)=0"</formula>
    </cfRule>
  </conditionalFormatting>
  <conditionalFormatting sqref="Z308:AA322">
    <cfRule type="expression" dxfId="698" priority="737" stopIfTrue="1">
      <formula>"mod($A1;2)=0"</formula>
    </cfRule>
  </conditionalFormatting>
  <conditionalFormatting sqref="Z248:AA253">
    <cfRule type="expression" dxfId="697" priority="750" stopIfTrue="1">
      <formula>"mod($A1;2)=0"</formula>
    </cfRule>
  </conditionalFormatting>
  <conditionalFormatting sqref="Q123:S130 Z123:AA128 Z130:AA130">
    <cfRule type="expression" dxfId="696" priority="858" stopIfTrue="1">
      <formula>"mod($A1;2)=0"</formula>
    </cfRule>
  </conditionalFormatting>
  <conditionalFormatting sqref="T223:Y228">
    <cfRule type="expression" dxfId="695" priority="754" stopIfTrue="1">
      <formula>"mod($A1;2)=0"</formula>
    </cfRule>
  </conditionalFormatting>
  <conditionalFormatting sqref="Q273:S280 Z280:AA280">
    <cfRule type="expression" dxfId="694" priority="832" stopIfTrue="1">
      <formula>"mod($A1;2)=0"</formula>
    </cfRule>
  </conditionalFormatting>
  <conditionalFormatting sqref="T280:Y280">
    <cfRule type="expression" dxfId="693" priority="831" stopIfTrue="1">
      <formula>"mod($A1;2)=0"</formula>
    </cfRule>
  </conditionalFormatting>
  <conditionalFormatting sqref="Q223:S230 Z230:AA230">
    <cfRule type="expression" dxfId="692" priority="845" stopIfTrue="1">
      <formula>"mod($A1;2)=0"</formula>
    </cfRule>
  </conditionalFormatting>
  <conditionalFormatting sqref="T230:Y230">
    <cfRule type="expression" dxfId="691" priority="844" stopIfTrue="1">
      <formula>"mod($A1;2)=0"</formula>
    </cfRule>
  </conditionalFormatting>
  <conditionalFormatting sqref="Z283:AA297">
    <cfRule type="expression" dxfId="690" priority="742" stopIfTrue="1">
      <formula>"mod($A1;2)=0"</formula>
    </cfRule>
  </conditionalFormatting>
  <conditionalFormatting sqref="Q173:S180 Z180:AA180">
    <cfRule type="expression" dxfId="689" priority="851" stopIfTrue="1">
      <formula>"mod($A1;2)=0"</formula>
    </cfRule>
  </conditionalFormatting>
  <conditionalFormatting sqref="T180:Y180">
    <cfRule type="expression" dxfId="688" priority="850" stopIfTrue="1">
      <formula>"mod($A1;2)=0"</formula>
    </cfRule>
  </conditionalFormatting>
  <conditionalFormatting sqref="Q298:S305 Z305:AA305">
    <cfRule type="expression" dxfId="687" priority="826" stopIfTrue="1">
      <formula>"mod($A1;2)=0"</formula>
    </cfRule>
  </conditionalFormatting>
  <conditionalFormatting sqref="T305:Y305">
    <cfRule type="expression" dxfId="686" priority="825" stopIfTrue="1">
      <formula>"mod($A1;2)=0"</formula>
    </cfRule>
  </conditionalFormatting>
  <conditionalFormatting sqref="Q398:S405 Z405:AA405">
    <cfRule type="expression" dxfId="685" priority="802" stopIfTrue="1">
      <formula>"mod($A1;2)=0"</formula>
    </cfRule>
  </conditionalFormatting>
  <conditionalFormatting sqref="T233:Y247">
    <cfRule type="expression" dxfId="684" priority="751" stopIfTrue="1">
      <formula>"mod($A1;2)=0"</formula>
    </cfRule>
  </conditionalFormatting>
  <conditionalFormatting sqref="Q248:S255 Z255:AA255">
    <cfRule type="expression" dxfId="683" priority="842" stopIfTrue="1">
      <formula>"mod($A1;2)=0"</formula>
    </cfRule>
  </conditionalFormatting>
  <conditionalFormatting sqref="T255:Y255">
    <cfRule type="expression" dxfId="682" priority="841" stopIfTrue="1">
      <formula>"mod($A1;2)=0"</formula>
    </cfRule>
  </conditionalFormatting>
  <conditionalFormatting sqref="Q348:S355 Z355:AA355">
    <cfRule type="expression" dxfId="681" priority="814" stopIfTrue="1">
      <formula>"mod($A1;2)=0"</formula>
    </cfRule>
  </conditionalFormatting>
  <conditionalFormatting sqref="T355:Y355">
    <cfRule type="expression" dxfId="680" priority="813" stopIfTrue="1">
      <formula>"mod($A1;2)=0"</formula>
    </cfRule>
  </conditionalFormatting>
  <conditionalFormatting sqref="I256 C256 F256 L256 Q269:S272 B256:B257 AB257 O256:P257">
    <cfRule type="expression" dxfId="679" priority="834" stopIfTrue="1">
      <formula>"mod($A1;2)=0"</formula>
    </cfRule>
  </conditionalFormatting>
  <conditionalFormatting sqref="A256 Q258:S268 AB256:AB273 AB279:AB280">
    <cfRule type="expression" dxfId="678" priority="835" stopIfTrue="1">
      <formula>"mod($A13;2)=0"</formula>
    </cfRule>
  </conditionalFormatting>
  <conditionalFormatting sqref="AB274:AB278">
    <cfRule type="expression" dxfId="677" priority="833" stopIfTrue="1">
      <formula>"mod($A13;2)=0"</formula>
    </cfRule>
  </conditionalFormatting>
  <conditionalFormatting sqref="Q323:S330 Z330:AA330">
    <cfRule type="expression" dxfId="676" priority="820" stopIfTrue="1">
      <formula>"mod($A1;2)=0"</formula>
    </cfRule>
  </conditionalFormatting>
  <conditionalFormatting sqref="T330:Y330">
    <cfRule type="expression" dxfId="675" priority="819" stopIfTrue="1">
      <formula>"mod($A1;2)=0"</formula>
    </cfRule>
  </conditionalFormatting>
  <conditionalFormatting sqref="Q373:S380 Z380:AA380">
    <cfRule type="expression" dxfId="674" priority="808" stopIfTrue="1">
      <formula>"mod($A1;2)=0"</formula>
    </cfRule>
  </conditionalFormatting>
  <conditionalFormatting sqref="T380:Y380">
    <cfRule type="expression" dxfId="673" priority="807" stopIfTrue="1">
      <formula>"mod($A1;2)=0"</formula>
    </cfRule>
  </conditionalFormatting>
  <conditionalFormatting sqref="I281 C281 F281 L281 Q294:S297 B281:B282 AB282 O281:P282">
    <cfRule type="expression" dxfId="672" priority="828" stopIfTrue="1">
      <formula>"mod($A1;2)=0"</formula>
    </cfRule>
  </conditionalFormatting>
  <conditionalFormatting sqref="A281 Q283:S293 AB281:AB298 AB304:AB305">
    <cfRule type="expression" dxfId="671" priority="829" stopIfTrue="1">
      <formula>"mod($A13;2)=0"</formula>
    </cfRule>
  </conditionalFormatting>
  <conditionalFormatting sqref="AB299:AB303">
    <cfRule type="expression" dxfId="670" priority="827" stopIfTrue="1">
      <formula>"mod($A13;2)=0"</formula>
    </cfRule>
  </conditionalFormatting>
  <conditionalFormatting sqref="T405:Y405">
    <cfRule type="expression" dxfId="669" priority="801" stopIfTrue="1">
      <formula>"mod($A1;2)=0"</formula>
    </cfRule>
  </conditionalFormatting>
  <conditionalFormatting sqref="I456 C456 F456 L456 Q469:S472 B456:B457 AB457 O456:P457">
    <cfRule type="expression" dxfId="668" priority="786" stopIfTrue="1">
      <formula>"mod($A1;2)=0"</formula>
    </cfRule>
  </conditionalFormatting>
  <conditionalFormatting sqref="A306 Q308:S318 AB306:AB323 AB329:AB330">
    <cfRule type="expression" dxfId="667" priority="823" stopIfTrue="1">
      <formula>"mod($A13;2)=0"</formula>
    </cfRule>
  </conditionalFormatting>
  <conditionalFormatting sqref="AB324:AB328">
    <cfRule type="expression" dxfId="666" priority="821" stopIfTrue="1">
      <formula>"mod($A13;2)=0"</formula>
    </cfRule>
  </conditionalFormatting>
  <conditionalFormatting sqref="Q423:S430 Z430:AA430">
    <cfRule type="expression" dxfId="665" priority="796" stopIfTrue="1">
      <formula>"mod($A1;2)=0"</formula>
    </cfRule>
  </conditionalFormatting>
  <conditionalFormatting sqref="T430:Y430">
    <cfRule type="expression" dxfId="664" priority="795" stopIfTrue="1">
      <formula>"mod($A1;2)=0"</formula>
    </cfRule>
  </conditionalFormatting>
  <conditionalFormatting sqref="T480:Y480">
    <cfRule type="expression" dxfId="663" priority="783" stopIfTrue="1">
      <formula>"mod($A1;2)=0"</formula>
    </cfRule>
  </conditionalFormatting>
  <conditionalFormatting sqref="I331 C331 F331 L331 Q344:S347 B331:B332 AB332 O331:P332">
    <cfRule type="expression" dxfId="662" priority="816" stopIfTrue="1">
      <formula>"mod($A1;2)=0"</formula>
    </cfRule>
  </conditionalFormatting>
  <conditionalFormatting sqref="A331 Q333:S343 AB331:AB348 AB354:AB355">
    <cfRule type="expression" dxfId="661" priority="817" stopIfTrue="1">
      <formula>"mod($A13;2)=0"</formula>
    </cfRule>
  </conditionalFormatting>
  <conditionalFormatting sqref="AB349:AB353">
    <cfRule type="expression" dxfId="660" priority="815" stopIfTrue="1">
      <formula>"mod($A13;2)=0"</formula>
    </cfRule>
  </conditionalFormatting>
  <conditionalFormatting sqref="Q448:S455 Z455:AA455">
    <cfRule type="expression" dxfId="659" priority="790" stopIfTrue="1">
      <formula>"mod($A1;2)=0"</formula>
    </cfRule>
  </conditionalFormatting>
  <conditionalFormatting sqref="T455:Y455">
    <cfRule type="expression" dxfId="658" priority="789" stopIfTrue="1">
      <formula>"mod($A1;2)=0"</formula>
    </cfRule>
  </conditionalFormatting>
  <conditionalFormatting sqref="I356 C356 F356 L356 Q369:S372 B356:B357 AB357 O356:P357">
    <cfRule type="expression" dxfId="657" priority="810" stopIfTrue="1">
      <formula>"mod($A1;2)=0"</formula>
    </cfRule>
  </conditionalFormatting>
  <conditionalFormatting sqref="A356 Q358:S368 AB356:AB373 AB379:AB380">
    <cfRule type="expression" dxfId="656" priority="811" stopIfTrue="1">
      <formula>"mod($A13;2)=0"</formula>
    </cfRule>
  </conditionalFormatting>
  <conditionalFormatting sqref="AB374:AB378">
    <cfRule type="expression" dxfId="655" priority="809" stopIfTrue="1">
      <formula>"mod($A13;2)=0"</formula>
    </cfRule>
  </conditionalFormatting>
  <conditionalFormatting sqref="Q473:S480 Z480:AA480">
    <cfRule type="expression" dxfId="654" priority="784" stopIfTrue="1">
      <formula>"mod($A1;2)=0"</formula>
    </cfRule>
  </conditionalFormatting>
  <conditionalFormatting sqref="I381 C381 F381 L381 Q394:S397 B381:B382 AB382 O381:P382">
    <cfRule type="expression" dxfId="653" priority="804" stopIfTrue="1">
      <formula>"mod($A1;2)=0"</formula>
    </cfRule>
  </conditionalFormatting>
  <conditionalFormatting sqref="A381 Q383:S393 AB381:AB398 AB404:AB405">
    <cfRule type="expression" dxfId="652" priority="805" stopIfTrue="1">
      <formula>"mod($A13;2)=0"</formula>
    </cfRule>
  </conditionalFormatting>
  <conditionalFormatting sqref="AB399:AB403">
    <cfRule type="expression" dxfId="651" priority="803" stopIfTrue="1">
      <formula>"mod($A13;2)=0"</formula>
    </cfRule>
  </conditionalFormatting>
  <conditionalFormatting sqref="I406 C406 F406 L406 Q419:S422 B406:B407 AB407 O406:P407">
    <cfRule type="expression" dxfId="650" priority="798" stopIfTrue="1">
      <formula>"mod($A1;2)=0"</formula>
    </cfRule>
  </conditionalFormatting>
  <conditionalFormatting sqref="A406 Q408:S418 AB406:AB423 AB429:AB430">
    <cfRule type="expression" dxfId="649" priority="799" stopIfTrue="1">
      <formula>"mod($A13;2)=0"</formula>
    </cfRule>
  </conditionalFormatting>
  <conditionalFormatting sqref="AB424:AB428">
    <cfRule type="expression" dxfId="648" priority="797" stopIfTrue="1">
      <formula>"mod($A13;2)=0"</formula>
    </cfRule>
  </conditionalFormatting>
  <conditionalFormatting sqref="Q498:S505 Z505:AA505">
    <cfRule type="expression" dxfId="647" priority="778" stopIfTrue="1">
      <formula>"mod($A1;2)=0"</formula>
    </cfRule>
  </conditionalFormatting>
  <conditionalFormatting sqref="T505:Y505">
    <cfRule type="expression" dxfId="646" priority="777" stopIfTrue="1">
      <formula>"mod($A1;2)=0"</formula>
    </cfRule>
  </conditionalFormatting>
  <conditionalFormatting sqref="I431 C431 F431 L431 Q444:S447 B431:B432 AB432 O431:P432">
    <cfRule type="expression" dxfId="645" priority="792" stopIfTrue="1">
      <formula>"mod($A1;2)=0"</formula>
    </cfRule>
  </conditionalFormatting>
  <conditionalFormatting sqref="A431 Q433:S443 AB431:AB448 AB454:AB455">
    <cfRule type="expression" dxfId="644" priority="793" stopIfTrue="1">
      <formula>"mod($A13;2)=0"</formula>
    </cfRule>
  </conditionalFormatting>
  <conditionalFormatting sqref="AB449:AB453">
    <cfRule type="expression" dxfId="643" priority="791" stopIfTrue="1">
      <formula>"mod($A13;2)=0"</formula>
    </cfRule>
  </conditionalFormatting>
  <conditionalFormatting sqref="A456 Q458:S468 AB456:AB473 AB479:AB480">
    <cfRule type="expression" dxfId="642" priority="787" stopIfTrue="1">
      <formula>"mod($A13;2)=0"</formula>
    </cfRule>
  </conditionalFormatting>
  <conditionalFormatting sqref="AB474:AB478">
    <cfRule type="expression" dxfId="641" priority="785" stopIfTrue="1">
      <formula>"mod($A13;2)=0"</formula>
    </cfRule>
  </conditionalFormatting>
  <conditionalFormatting sqref="I481 C481 F481 L481 Q494:S497 B481:B482 AB482 O481:P482">
    <cfRule type="expression" dxfId="640" priority="780" stopIfTrue="1">
      <formula>"mod($A1;2)=0"</formula>
    </cfRule>
  </conditionalFormatting>
  <conditionalFormatting sqref="A481 Q483:S493 AB481:AB498 AB504:AB505">
    <cfRule type="expression" dxfId="639" priority="781" stopIfTrue="1">
      <formula>"mod($A13;2)=0"</formula>
    </cfRule>
  </conditionalFormatting>
  <conditionalFormatting sqref="AB499:AB503">
    <cfRule type="expression" dxfId="638" priority="779" stopIfTrue="1">
      <formula>"mod($A13;2)=0"</formula>
    </cfRule>
  </conditionalFormatting>
  <conditionalFormatting sqref="Z623:AA628">
    <cfRule type="expression" dxfId="637" priority="640" stopIfTrue="1">
      <formula>"mod($A1;2)=0"</formula>
    </cfRule>
  </conditionalFormatting>
  <conditionalFormatting sqref="T630:Y630">
    <cfRule type="expression" dxfId="636" priority="644" stopIfTrue="1">
      <formula>"mod($A1;2)=0"</formula>
    </cfRule>
  </conditionalFormatting>
  <conditionalFormatting sqref="T598:Y603">
    <cfRule type="expression" dxfId="635" priority="650" stopIfTrue="1">
      <formula>"mod($A1;2)=0"</formula>
    </cfRule>
  </conditionalFormatting>
  <conditionalFormatting sqref="T579:AA579">
    <cfRule type="expression" dxfId="634" priority="660" stopIfTrue="1">
      <formula>"mod($A1;2)=0"</formula>
    </cfRule>
  </conditionalFormatting>
  <conditionalFormatting sqref="I531 C531 F531 L531 Q544:S547 B531:B532 AB532 O531:P532">
    <cfRule type="expression" dxfId="633" priority="680" stopIfTrue="1">
      <formula>"mod($A1;2)=0"</formula>
    </cfRule>
  </conditionalFormatting>
  <conditionalFormatting sqref="Z508:AA522">
    <cfRule type="expression" dxfId="632" priority="686" stopIfTrue="1">
      <formula>"mod($A1;2)=0"</formula>
    </cfRule>
  </conditionalFormatting>
  <conditionalFormatting sqref="T633:Y647">
    <cfRule type="expression" dxfId="631" priority="696" stopIfTrue="1">
      <formula>"mod($A1;2)=0"</formula>
    </cfRule>
  </conditionalFormatting>
  <conditionalFormatting sqref="Z483:AA497">
    <cfRule type="expression" dxfId="630" priority="702" stopIfTrue="1">
      <formula>"mod($A1;2)=0"</formula>
    </cfRule>
  </conditionalFormatting>
  <conditionalFormatting sqref="T454:AA454">
    <cfRule type="expression" dxfId="629" priority="708" stopIfTrue="1">
      <formula>"mod($A1;2)=0"</formula>
    </cfRule>
  </conditionalFormatting>
  <conditionalFormatting sqref="T423:Y428">
    <cfRule type="expression" dxfId="628" priority="714" stopIfTrue="1">
      <formula>"mod($A1;2)=0"</formula>
    </cfRule>
  </conditionalFormatting>
  <conditionalFormatting sqref="Z398:AA403">
    <cfRule type="expression" dxfId="627" priority="720" stopIfTrue="1">
      <formula>"mod($A1;2)=0"</formula>
    </cfRule>
  </conditionalFormatting>
  <conditionalFormatting sqref="T358:Y372">
    <cfRule type="expression" dxfId="626" priority="726" stopIfTrue="1">
      <formula>"mod($A1;2)=0"</formula>
    </cfRule>
  </conditionalFormatting>
  <conditionalFormatting sqref="Z333:AA347">
    <cfRule type="expression" dxfId="625" priority="732" stopIfTrue="1">
      <formula>"mod($A1;2)=0"</formula>
    </cfRule>
  </conditionalFormatting>
  <conditionalFormatting sqref="T654:AA654">
    <cfRule type="expression" dxfId="624" priority="693" stopIfTrue="1">
      <formula>"mod($A1;2)=0"</formula>
    </cfRule>
  </conditionalFormatting>
  <conditionalFormatting sqref="T33:AA54">
    <cfRule type="expression" dxfId="623" priority="775" stopIfTrue="1">
      <formula>"mod($A1;2)=0"</formula>
    </cfRule>
  </conditionalFormatting>
  <conditionalFormatting sqref="T58:AA79">
    <cfRule type="expression" dxfId="622" priority="774" stopIfTrue="1">
      <formula>"mod($A1;2)=0"</formula>
    </cfRule>
  </conditionalFormatting>
  <conditionalFormatting sqref="T83:AA104">
    <cfRule type="expression" dxfId="621" priority="773" stopIfTrue="1">
      <formula>"mod($A1;2)=0"</formula>
    </cfRule>
  </conditionalFormatting>
  <conditionalFormatting sqref="Z133:AA147">
    <cfRule type="expression" dxfId="620" priority="772" stopIfTrue="1">
      <formula>"mod($A1;2)=0"</formula>
    </cfRule>
  </conditionalFormatting>
  <conditionalFormatting sqref="T133:Y147">
    <cfRule type="expression" dxfId="619" priority="771" stopIfTrue="1">
      <formula>"mod($A1;2)=0"</formula>
    </cfRule>
  </conditionalFormatting>
  <conditionalFormatting sqref="T148:Y153">
    <cfRule type="expression" dxfId="618" priority="769" stopIfTrue="1">
      <formula>"mod($A1;2)=0"</formula>
    </cfRule>
  </conditionalFormatting>
  <conditionalFormatting sqref="T154:AA154">
    <cfRule type="expression" dxfId="617" priority="768" stopIfTrue="1">
      <formula>"mod($A1;2)=0"</formula>
    </cfRule>
  </conditionalFormatting>
  <conditionalFormatting sqref="Z148:AA153">
    <cfRule type="expression" dxfId="616" priority="770" stopIfTrue="1">
      <formula>"mod($A1;2)=0"</formula>
    </cfRule>
  </conditionalFormatting>
  <conditionalFormatting sqref="Z158:AA172">
    <cfRule type="expression" dxfId="615" priority="767" stopIfTrue="1">
      <formula>"mod($A1;2)=0"</formula>
    </cfRule>
  </conditionalFormatting>
  <conditionalFormatting sqref="T158:Y172">
    <cfRule type="expression" dxfId="614" priority="766" stopIfTrue="1">
      <formula>"mod($A1;2)=0"</formula>
    </cfRule>
  </conditionalFormatting>
  <conditionalFormatting sqref="T173:Y178">
    <cfRule type="expression" dxfId="613" priority="764" stopIfTrue="1">
      <formula>"mod($A1;2)=0"</formula>
    </cfRule>
  </conditionalFormatting>
  <conditionalFormatting sqref="T179:AA179">
    <cfRule type="expression" dxfId="612" priority="763" stopIfTrue="1">
      <formula>"mod($A1;2)=0"</formula>
    </cfRule>
  </conditionalFormatting>
  <conditionalFormatting sqref="Z173:AA178">
    <cfRule type="expression" dxfId="611" priority="765" stopIfTrue="1">
      <formula>"mod($A1;2)=0"</formula>
    </cfRule>
  </conditionalFormatting>
  <conditionalFormatting sqref="Z183:AA197">
    <cfRule type="expression" dxfId="610" priority="762" stopIfTrue="1">
      <formula>"mod($A1;2)=0"</formula>
    </cfRule>
  </conditionalFormatting>
  <conditionalFormatting sqref="T183:Y197">
    <cfRule type="expression" dxfId="609" priority="761" stopIfTrue="1">
      <formula>"mod($A1;2)=0"</formula>
    </cfRule>
  </conditionalFormatting>
  <conditionalFormatting sqref="T198:Y203">
    <cfRule type="expression" dxfId="608" priority="759" stopIfTrue="1">
      <formula>"mod($A1;2)=0"</formula>
    </cfRule>
  </conditionalFormatting>
  <conditionalFormatting sqref="T204:AA204">
    <cfRule type="expression" dxfId="607" priority="758" stopIfTrue="1">
      <formula>"mod($A1;2)=0"</formula>
    </cfRule>
  </conditionalFormatting>
  <conditionalFormatting sqref="Z198:AA203">
    <cfRule type="expression" dxfId="606" priority="760" stopIfTrue="1">
      <formula>"mod($A1;2)=0"</formula>
    </cfRule>
  </conditionalFormatting>
  <conditionalFormatting sqref="Z208:AA222">
    <cfRule type="expression" dxfId="605" priority="757" stopIfTrue="1">
      <formula>"mod($A1;2)=0"</formula>
    </cfRule>
  </conditionalFormatting>
  <conditionalFormatting sqref="T208:Y222">
    <cfRule type="expression" dxfId="604" priority="756" stopIfTrue="1">
      <formula>"mod($A1;2)=0"</formula>
    </cfRule>
  </conditionalFormatting>
  <conditionalFormatting sqref="T229:AA229">
    <cfRule type="expression" dxfId="603" priority="753" stopIfTrue="1">
      <formula>"mod($A1;2)=0"</formula>
    </cfRule>
  </conditionalFormatting>
  <conditionalFormatting sqref="Z223:AA228">
    <cfRule type="expression" dxfId="602" priority="755" stopIfTrue="1">
      <formula>"mod($A1;2)=0"</formula>
    </cfRule>
  </conditionalFormatting>
  <conditionalFormatting sqref="Z233:AA247">
    <cfRule type="expression" dxfId="601" priority="752" stopIfTrue="1">
      <formula>"mod($A1;2)=0"</formula>
    </cfRule>
  </conditionalFormatting>
  <conditionalFormatting sqref="T248:Y253">
    <cfRule type="expression" dxfId="600" priority="749" stopIfTrue="1">
      <formula>"mod($A1;2)=0"</formula>
    </cfRule>
  </conditionalFormatting>
  <conditionalFormatting sqref="Z258:AA272">
    <cfRule type="expression" dxfId="599" priority="747" stopIfTrue="1">
      <formula>"mod($A1;2)=0"</formula>
    </cfRule>
  </conditionalFormatting>
  <conditionalFormatting sqref="T258:Y272">
    <cfRule type="expression" dxfId="598" priority="746" stopIfTrue="1">
      <formula>"mod($A1;2)=0"</formula>
    </cfRule>
  </conditionalFormatting>
  <conditionalFormatting sqref="T273:Y278">
    <cfRule type="expression" dxfId="597" priority="744" stopIfTrue="1">
      <formula>"mod($A1;2)=0"</formula>
    </cfRule>
  </conditionalFormatting>
  <conditionalFormatting sqref="T279:AA279">
    <cfRule type="expression" dxfId="596" priority="743" stopIfTrue="1">
      <formula>"mod($A1;2)=0"</formula>
    </cfRule>
  </conditionalFormatting>
  <conditionalFormatting sqref="T283:Y297">
    <cfRule type="expression" dxfId="595" priority="741" stopIfTrue="1">
      <formula>"mod($A1;2)=0"</formula>
    </cfRule>
  </conditionalFormatting>
  <conditionalFormatting sqref="Z298:AA303">
    <cfRule type="expression" dxfId="594" priority="740" stopIfTrue="1">
      <formula>"mod($A1;2)=0"</formula>
    </cfRule>
  </conditionalFormatting>
  <conditionalFormatting sqref="T308:Y322">
    <cfRule type="expression" dxfId="593" priority="736" stopIfTrue="1">
      <formula>"mod($A1;2)=0"</formula>
    </cfRule>
  </conditionalFormatting>
  <conditionalFormatting sqref="T329:AA329">
    <cfRule type="expression" dxfId="592" priority="733" stopIfTrue="1">
      <formula>"mod($A1;2)=0"</formula>
    </cfRule>
  </conditionalFormatting>
  <conditionalFormatting sqref="Z323:AA328">
    <cfRule type="expression" dxfId="591" priority="735" stopIfTrue="1">
      <formula>"mod($A1;2)=0"</formula>
    </cfRule>
  </conditionalFormatting>
  <conditionalFormatting sqref="T333:Y347">
    <cfRule type="expression" dxfId="590" priority="731" stopIfTrue="1">
      <formula>"mod($A1;2)=0"</formula>
    </cfRule>
  </conditionalFormatting>
  <conditionalFormatting sqref="T348:Y353">
    <cfRule type="expression" dxfId="589" priority="729" stopIfTrue="1">
      <formula>"mod($A1;2)=0"</formula>
    </cfRule>
  </conditionalFormatting>
  <conditionalFormatting sqref="T354:AA354">
    <cfRule type="expression" dxfId="588" priority="728" stopIfTrue="1">
      <formula>"mod($A1;2)=0"</formula>
    </cfRule>
  </conditionalFormatting>
  <conditionalFormatting sqref="Z348:AA353">
    <cfRule type="expression" dxfId="587" priority="730" stopIfTrue="1">
      <formula>"mod($A1;2)=0"</formula>
    </cfRule>
  </conditionalFormatting>
  <conditionalFormatting sqref="Z358:AA372">
    <cfRule type="expression" dxfId="586" priority="727" stopIfTrue="1">
      <formula>"mod($A1;2)=0"</formula>
    </cfRule>
  </conditionalFormatting>
  <conditionalFormatting sqref="T373:Y378">
    <cfRule type="expression" dxfId="585" priority="724" stopIfTrue="1">
      <formula>"mod($A1;2)=0"</formula>
    </cfRule>
  </conditionalFormatting>
  <conditionalFormatting sqref="T379:AA379">
    <cfRule type="expression" dxfId="584" priority="723" stopIfTrue="1">
      <formula>"mod($A1;2)=0"</formula>
    </cfRule>
  </conditionalFormatting>
  <conditionalFormatting sqref="Z373:AA378">
    <cfRule type="expression" dxfId="583" priority="725" stopIfTrue="1">
      <formula>"mod($A1;2)=0"</formula>
    </cfRule>
  </conditionalFormatting>
  <conditionalFormatting sqref="Z383:AA397">
    <cfRule type="expression" dxfId="582" priority="722" stopIfTrue="1">
      <formula>"mod($A1;2)=0"</formula>
    </cfRule>
  </conditionalFormatting>
  <conditionalFormatting sqref="T383:Y397">
    <cfRule type="expression" dxfId="581" priority="721" stopIfTrue="1">
      <formula>"mod($A1;2)=0"</formula>
    </cfRule>
  </conditionalFormatting>
  <conditionalFormatting sqref="T398:Y403">
    <cfRule type="expression" dxfId="580" priority="719" stopIfTrue="1">
      <formula>"mod($A1;2)=0"</formula>
    </cfRule>
  </conditionalFormatting>
  <conditionalFormatting sqref="T404:AA404">
    <cfRule type="expression" dxfId="579" priority="718" stopIfTrue="1">
      <formula>"mod($A1;2)=0"</formula>
    </cfRule>
  </conditionalFormatting>
  <conditionalFormatting sqref="Z408:AA422">
    <cfRule type="expression" dxfId="578" priority="717" stopIfTrue="1">
      <formula>"mod($A1;2)=0"</formula>
    </cfRule>
  </conditionalFormatting>
  <conditionalFormatting sqref="T408:Y422">
    <cfRule type="expression" dxfId="577" priority="716" stopIfTrue="1">
      <formula>"mod($A1;2)=0"</formula>
    </cfRule>
  </conditionalFormatting>
  <conditionalFormatting sqref="T429:AA429">
    <cfRule type="expression" dxfId="576" priority="713" stopIfTrue="1">
      <formula>"mod($A1;2)=0"</formula>
    </cfRule>
  </conditionalFormatting>
  <conditionalFormatting sqref="Z423:AA428">
    <cfRule type="expression" dxfId="575" priority="715" stopIfTrue="1">
      <formula>"mod($A1;2)=0"</formula>
    </cfRule>
  </conditionalFormatting>
  <conditionalFormatting sqref="Z433:AA447">
    <cfRule type="expression" dxfId="574" priority="712" stopIfTrue="1">
      <formula>"mod($A1;2)=0"</formula>
    </cfRule>
  </conditionalFormatting>
  <conditionalFormatting sqref="T433:Y447">
    <cfRule type="expression" dxfId="573" priority="711" stopIfTrue="1">
      <formula>"mod($A1;2)=0"</formula>
    </cfRule>
  </conditionalFormatting>
  <conditionalFormatting sqref="T448:Y453">
    <cfRule type="expression" dxfId="572" priority="709" stopIfTrue="1">
      <formula>"mod($A1;2)=0"</formula>
    </cfRule>
  </conditionalFormatting>
  <conditionalFormatting sqref="Z448:AA453">
    <cfRule type="expression" dxfId="571" priority="710" stopIfTrue="1">
      <formula>"mod($A1;2)=0"</formula>
    </cfRule>
  </conditionalFormatting>
  <conditionalFormatting sqref="Z458:AA472">
    <cfRule type="expression" dxfId="570" priority="707" stopIfTrue="1">
      <formula>"mod($A1;2)=0"</formula>
    </cfRule>
  </conditionalFormatting>
  <conditionalFormatting sqref="T458:Y472">
    <cfRule type="expression" dxfId="569" priority="706" stopIfTrue="1">
      <formula>"mod($A1;2)=0"</formula>
    </cfRule>
  </conditionalFormatting>
  <conditionalFormatting sqref="T473:Y478">
    <cfRule type="expression" dxfId="568" priority="704" stopIfTrue="1">
      <formula>"mod($A1;2)=0"</formula>
    </cfRule>
  </conditionalFormatting>
  <conditionalFormatting sqref="T479:AA479">
    <cfRule type="expression" dxfId="567" priority="703" stopIfTrue="1">
      <formula>"mod($A1;2)=0"</formula>
    </cfRule>
  </conditionalFormatting>
  <conditionalFormatting sqref="Z473:AA478">
    <cfRule type="expression" dxfId="566" priority="705" stopIfTrue="1">
      <formula>"mod($A1;2)=0"</formula>
    </cfRule>
  </conditionalFormatting>
  <conditionalFormatting sqref="T483:Y497">
    <cfRule type="expression" dxfId="565" priority="701" stopIfTrue="1">
      <formula>"mod($A1;2)=0"</formula>
    </cfRule>
  </conditionalFormatting>
  <conditionalFormatting sqref="T498:Y503">
    <cfRule type="expression" dxfId="564" priority="699" stopIfTrue="1">
      <formula>"mod($A1;2)=0"</formula>
    </cfRule>
  </conditionalFormatting>
  <conditionalFormatting sqref="T504:AA504">
    <cfRule type="expression" dxfId="563" priority="698" stopIfTrue="1">
      <formula>"mod($A1;2)=0"</formula>
    </cfRule>
  </conditionalFormatting>
  <conditionalFormatting sqref="Z498:AA503">
    <cfRule type="expression" dxfId="562" priority="700" stopIfTrue="1">
      <formula>"mod($A1;2)=0"</formula>
    </cfRule>
  </conditionalFormatting>
  <conditionalFormatting sqref="Z633:AA647">
    <cfRule type="expression" dxfId="561" priority="697" stopIfTrue="1">
      <formula>"mod($A1;2)=0"</formula>
    </cfRule>
  </conditionalFormatting>
  <conditionalFormatting sqref="T648:Y653">
    <cfRule type="expression" dxfId="560" priority="694" stopIfTrue="1">
      <formula>"mod($A1;2)=0"</formula>
    </cfRule>
  </conditionalFormatting>
  <conditionalFormatting sqref="Z648:AA653">
    <cfRule type="expression" dxfId="559" priority="695" stopIfTrue="1">
      <formula>"mod($A1;2)=0"</formula>
    </cfRule>
  </conditionalFormatting>
  <conditionalFormatting sqref="T605:Y605">
    <cfRule type="expression" dxfId="558" priority="655" stopIfTrue="1">
      <formula>"mod($A1;2)=0"</formula>
    </cfRule>
  </conditionalFormatting>
  <conditionalFormatting sqref="Q523:S530 Z530:AA530">
    <cfRule type="expression" dxfId="557" priority="689" stopIfTrue="1">
      <formula>"mod($A1;2)=0"</formula>
    </cfRule>
  </conditionalFormatting>
  <conditionalFormatting sqref="T530:Y530">
    <cfRule type="expression" dxfId="556" priority="688" stopIfTrue="1">
      <formula>"mod($A1;2)=0"</formula>
    </cfRule>
  </conditionalFormatting>
  <conditionalFormatting sqref="I506 C506 F506 L506 Q519:S522 B506:B507 AB507 O506:P507">
    <cfRule type="expression" dxfId="555" priority="691" stopIfTrue="1">
      <formula>"mod($A1;2)=0"</formula>
    </cfRule>
  </conditionalFormatting>
  <conditionalFormatting sqref="A506 Q508:S518 AB506:AB523 AB529:AB530">
    <cfRule type="expression" dxfId="554" priority="692" stopIfTrue="1">
      <formula>"mod($A13;2)=0"</formula>
    </cfRule>
  </conditionalFormatting>
  <conditionalFormatting sqref="AB524:AB528">
    <cfRule type="expression" dxfId="553" priority="690" stopIfTrue="1">
      <formula>"mod($A13;2)=0"</formula>
    </cfRule>
  </conditionalFormatting>
  <conditionalFormatting sqref="T508:Y522">
    <cfRule type="expression" dxfId="552" priority="685" stopIfTrue="1">
      <formula>"mod($A1;2)=0"</formula>
    </cfRule>
  </conditionalFormatting>
  <conditionalFormatting sqref="T523:Y528">
    <cfRule type="expression" dxfId="551" priority="683" stopIfTrue="1">
      <formula>"mod($A1;2)=0"</formula>
    </cfRule>
  </conditionalFormatting>
  <conditionalFormatting sqref="T529:AA529">
    <cfRule type="expression" dxfId="550" priority="682" stopIfTrue="1">
      <formula>"mod($A1;2)=0"</formula>
    </cfRule>
  </conditionalFormatting>
  <conditionalFormatting sqref="Z523:AA528">
    <cfRule type="expression" dxfId="549" priority="684" stopIfTrue="1">
      <formula>"mod($A1;2)=0"</formula>
    </cfRule>
  </conditionalFormatting>
  <conditionalFormatting sqref="Z598:AA603">
    <cfRule type="expression" dxfId="548" priority="651" stopIfTrue="1">
      <formula>"mod($A1;2)=0"</formula>
    </cfRule>
  </conditionalFormatting>
  <conditionalFormatting sqref="Q548:S555 Z555:AA555">
    <cfRule type="expression" dxfId="547" priority="678" stopIfTrue="1">
      <formula>"mod($A1;2)=0"</formula>
    </cfRule>
  </conditionalFormatting>
  <conditionalFormatting sqref="T555:Y555">
    <cfRule type="expression" dxfId="546" priority="677" stopIfTrue="1">
      <formula>"mod($A1;2)=0"</formula>
    </cfRule>
  </conditionalFormatting>
  <conditionalFormatting sqref="A531 Q533:S543 AB531:AB548 AB554:AB555">
    <cfRule type="expression" dxfId="545" priority="681" stopIfTrue="1">
      <formula>"mod($A13;2)=0"</formula>
    </cfRule>
  </conditionalFormatting>
  <conditionalFormatting sqref="AB549:AB553">
    <cfRule type="expression" dxfId="544" priority="679" stopIfTrue="1">
      <formula>"mod($A13;2)=0"</formula>
    </cfRule>
  </conditionalFormatting>
  <conditionalFormatting sqref="Z533:AA547">
    <cfRule type="expression" dxfId="543" priority="675" stopIfTrue="1">
      <formula>"mod($A1;2)=0"</formula>
    </cfRule>
  </conditionalFormatting>
  <conditionalFormatting sqref="T533:Y547">
    <cfRule type="expression" dxfId="542" priority="674" stopIfTrue="1">
      <formula>"mod($A1;2)=0"</formula>
    </cfRule>
  </conditionalFormatting>
  <conditionalFormatting sqref="T548:Y553">
    <cfRule type="expression" dxfId="541" priority="672" stopIfTrue="1">
      <formula>"mod($A1;2)=0"</formula>
    </cfRule>
  </conditionalFormatting>
  <conditionalFormatting sqref="T554:AA554">
    <cfRule type="expression" dxfId="540" priority="671" stopIfTrue="1">
      <formula>"mod($A1;2)=0"</formula>
    </cfRule>
  </conditionalFormatting>
  <conditionalFormatting sqref="Z548:AA553">
    <cfRule type="expression" dxfId="539" priority="673" stopIfTrue="1">
      <formula>"mod($A1;2)=0"</formula>
    </cfRule>
  </conditionalFormatting>
  <conditionalFormatting sqref="Q623:S630 Z630:AA630">
    <cfRule type="expression" dxfId="538" priority="645" stopIfTrue="1">
      <formula>"mod($A1;2)=0"</formula>
    </cfRule>
  </conditionalFormatting>
  <conditionalFormatting sqref="Q573:S580 Z580:AA580">
    <cfRule type="expression" dxfId="537" priority="667" stopIfTrue="1">
      <formula>"mod($A1;2)=0"</formula>
    </cfRule>
  </conditionalFormatting>
  <conditionalFormatting sqref="T580:Y580">
    <cfRule type="expression" dxfId="536" priority="666" stopIfTrue="1">
      <formula>"mod($A1;2)=0"</formula>
    </cfRule>
  </conditionalFormatting>
  <conditionalFormatting sqref="I556 C556 F556 L556 Q569:S572 B556:B557 AB557 O556:P557">
    <cfRule type="expression" dxfId="535" priority="669" stopIfTrue="1">
      <formula>"mod($A1;2)=0"</formula>
    </cfRule>
  </conditionalFormatting>
  <conditionalFormatting sqref="A556 Q558:S568 AB556:AB573 AB579:AB580">
    <cfRule type="expression" dxfId="534" priority="670" stopIfTrue="1">
      <formula>"mod($A13;2)=0"</formula>
    </cfRule>
  </conditionalFormatting>
  <conditionalFormatting sqref="AB574:AB578">
    <cfRule type="expression" dxfId="533" priority="668" stopIfTrue="1">
      <formula>"mod($A13;2)=0"</formula>
    </cfRule>
  </conditionalFormatting>
  <conditionalFormatting sqref="Z558:AA572">
    <cfRule type="expression" dxfId="532" priority="664" stopIfTrue="1">
      <formula>"mod($A1;2)=0"</formula>
    </cfRule>
  </conditionalFormatting>
  <conditionalFormatting sqref="T558:Y572">
    <cfRule type="expression" dxfId="531" priority="663" stopIfTrue="1">
      <formula>"mod($A1;2)=0"</formula>
    </cfRule>
  </conditionalFormatting>
  <conditionalFormatting sqref="T573:Y578">
    <cfRule type="expression" dxfId="530" priority="661" stopIfTrue="1">
      <formula>"mod($A1;2)=0"</formula>
    </cfRule>
  </conditionalFormatting>
  <conditionalFormatting sqref="Z573:AA578">
    <cfRule type="expression" dxfId="529" priority="662" stopIfTrue="1">
      <formula>"mod($A1;2)=0"</formula>
    </cfRule>
  </conditionalFormatting>
  <conditionalFormatting sqref="T608:Y622">
    <cfRule type="expression" dxfId="528" priority="641" stopIfTrue="1">
      <formula>"mod($A1;2)=0"</formula>
    </cfRule>
  </conditionalFormatting>
  <conditionalFormatting sqref="Q598:S605 Z605:AA605">
    <cfRule type="expression" dxfId="527" priority="656" stopIfTrue="1">
      <formula>"mod($A1;2)=0"</formula>
    </cfRule>
  </conditionalFormatting>
  <conditionalFormatting sqref="I581 C581 F581 L581 Q594:S597 B581:B582 AB582 O581:P582">
    <cfRule type="expression" dxfId="526" priority="658" stopIfTrue="1">
      <formula>"mod($A1;2)=0"</formula>
    </cfRule>
  </conditionalFormatting>
  <conditionalFormatting sqref="A581 Q583:S593 AB581:AB598 AB604:AB605">
    <cfRule type="expression" dxfId="525" priority="659" stopIfTrue="1">
      <formula>"mod($A13;2)=0"</formula>
    </cfRule>
  </conditionalFormatting>
  <conditionalFormatting sqref="AB599:AB603">
    <cfRule type="expression" dxfId="524" priority="657" stopIfTrue="1">
      <formula>"mod($A13;2)=0"</formula>
    </cfRule>
  </conditionalFormatting>
  <conditionalFormatting sqref="Z583:AA597">
    <cfRule type="expression" dxfId="523" priority="653" stopIfTrue="1">
      <formula>"mod($A1;2)=0"</formula>
    </cfRule>
  </conditionalFormatting>
  <conditionalFormatting sqref="T583:Y597">
    <cfRule type="expression" dxfId="522" priority="652" stopIfTrue="1">
      <formula>"mod($A1;2)=0"</formula>
    </cfRule>
  </conditionalFormatting>
  <conditionalFormatting sqref="T604:AA604">
    <cfRule type="expression" dxfId="521" priority="649" stopIfTrue="1">
      <formula>"mod($A1;2)=0"</formula>
    </cfRule>
  </conditionalFormatting>
  <conditionalFormatting sqref="J7">
    <cfRule type="expression" dxfId="520" priority="635" stopIfTrue="1">
      <formula>"mod($A1;2)=0"</formula>
    </cfRule>
  </conditionalFormatting>
  <conditionalFormatting sqref="I606 C606 F606 L606 Q619:S622 B606:B607 AB607 O606:P607">
    <cfRule type="expression" dxfId="519" priority="647" stopIfTrue="1">
      <formula>"mod($A1;2)=0"</formula>
    </cfRule>
  </conditionalFormatting>
  <conditionalFormatting sqref="A606 Q608:S618 AB606:AB623 AB629:AB630">
    <cfRule type="expression" dxfId="518" priority="648" stopIfTrue="1">
      <formula>"mod($A13;2)=0"</formula>
    </cfRule>
  </conditionalFormatting>
  <conditionalFormatting sqref="AB624:AB628">
    <cfRule type="expression" dxfId="517" priority="646" stopIfTrue="1">
      <formula>"mod($A13;2)=0"</formula>
    </cfRule>
  </conditionalFormatting>
  <conditionalFormatting sqref="L7 N7">
    <cfRule type="expression" dxfId="516" priority="634" stopIfTrue="1">
      <formula>"mod($A1;2)=0"</formula>
    </cfRule>
  </conditionalFormatting>
  <conditionalFormatting sqref="Z608:AA622">
    <cfRule type="expression" dxfId="515" priority="642" stopIfTrue="1">
      <formula>"mod($A1;2)=0"</formula>
    </cfRule>
  </conditionalFormatting>
  <conditionalFormatting sqref="T623:Y628">
    <cfRule type="expression" dxfId="514" priority="639" stopIfTrue="1">
      <formula>"mod($A1;2)=0"</formula>
    </cfRule>
  </conditionalFormatting>
  <conditionalFormatting sqref="T629:AA629">
    <cfRule type="expression" dxfId="513" priority="638" stopIfTrue="1">
      <formula>"mod($A1;2)=0"</formula>
    </cfRule>
  </conditionalFormatting>
  <conditionalFormatting sqref="G7">
    <cfRule type="expression" dxfId="512" priority="637" stopIfTrue="1">
      <formula>"mod($A1;2)=0"</formula>
    </cfRule>
  </conditionalFormatting>
  <conditionalFormatting sqref="I7 K7">
    <cfRule type="expression" dxfId="511" priority="636" stopIfTrue="1">
      <formula>"mod($A1;2)=0"</formula>
    </cfRule>
  </conditionalFormatting>
  <conditionalFormatting sqref="M7">
    <cfRule type="expression" dxfId="510" priority="633" stopIfTrue="1">
      <formula>"mod($A1;2)=0"</formula>
    </cfRule>
  </conditionalFormatting>
  <conditionalFormatting sqref="C32 E32">
    <cfRule type="expression" dxfId="509" priority="632" stopIfTrue="1">
      <formula>"mod($A1;2)=0"</formula>
    </cfRule>
  </conditionalFormatting>
  <conditionalFormatting sqref="D32">
    <cfRule type="expression" dxfId="508" priority="631" stopIfTrue="1">
      <formula>"mod($A1;2)=0"</formula>
    </cfRule>
  </conditionalFormatting>
  <conditionalFormatting sqref="F32 H32">
    <cfRule type="expression" dxfId="507" priority="630" stopIfTrue="1">
      <formula>"mod($A1;2)=0"</formula>
    </cfRule>
  </conditionalFormatting>
  <conditionalFormatting sqref="G32">
    <cfRule type="expression" dxfId="506" priority="629" stopIfTrue="1">
      <formula>"mod($A1;2)=0"</formula>
    </cfRule>
  </conditionalFormatting>
  <conditionalFormatting sqref="I32 K32">
    <cfRule type="expression" dxfId="505" priority="628" stopIfTrue="1">
      <formula>"mod($A1;2)=0"</formula>
    </cfRule>
  </conditionalFormatting>
  <conditionalFormatting sqref="J32">
    <cfRule type="expression" dxfId="504" priority="627" stopIfTrue="1">
      <formula>"mod($A1;2)=0"</formula>
    </cfRule>
  </conditionalFormatting>
  <conditionalFormatting sqref="L32 N32">
    <cfRule type="expression" dxfId="503" priority="626" stopIfTrue="1">
      <formula>"mod($A1;2)=0"</formula>
    </cfRule>
  </conditionalFormatting>
  <conditionalFormatting sqref="M32">
    <cfRule type="expression" dxfId="502" priority="625" stopIfTrue="1">
      <formula>"mod($A1;2)=0"</formula>
    </cfRule>
  </conditionalFormatting>
  <conditionalFormatting sqref="C57 E57">
    <cfRule type="expression" dxfId="501" priority="624" stopIfTrue="1">
      <formula>"mod($A1;2)=0"</formula>
    </cfRule>
  </conditionalFormatting>
  <conditionalFormatting sqref="D57">
    <cfRule type="expression" dxfId="500" priority="623" stopIfTrue="1">
      <formula>"mod($A1;2)=0"</formula>
    </cfRule>
  </conditionalFormatting>
  <conditionalFormatting sqref="F57 H57">
    <cfRule type="expression" dxfId="499" priority="622" stopIfTrue="1">
      <formula>"mod($A1;2)=0"</formula>
    </cfRule>
  </conditionalFormatting>
  <conditionalFormatting sqref="G57">
    <cfRule type="expression" dxfId="498" priority="621" stopIfTrue="1">
      <formula>"mod($A1;2)=0"</formula>
    </cfRule>
  </conditionalFormatting>
  <conditionalFormatting sqref="I57 K57">
    <cfRule type="expression" dxfId="497" priority="620" stopIfTrue="1">
      <formula>"mod($A1;2)=0"</formula>
    </cfRule>
  </conditionalFormatting>
  <conditionalFormatting sqref="J57">
    <cfRule type="expression" dxfId="496" priority="619" stopIfTrue="1">
      <formula>"mod($A1;2)=0"</formula>
    </cfRule>
  </conditionalFormatting>
  <conditionalFormatting sqref="L57 N57">
    <cfRule type="expression" dxfId="495" priority="618" stopIfTrue="1">
      <formula>"mod($A1;2)=0"</formula>
    </cfRule>
  </conditionalFormatting>
  <conditionalFormatting sqref="M57">
    <cfRule type="expression" dxfId="494" priority="617" stopIfTrue="1">
      <formula>"mod($A1;2)=0"</formula>
    </cfRule>
  </conditionalFormatting>
  <conditionalFormatting sqref="C82 E82">
    <cfRule type="expression" dxfId="493" priority="616" stopIfTrue="1">
      <formula>"mod($A1;2)=0"</formula>
    </cfRule>
  </conditionalFormatting>
  <conditionalFormatting sqref="D82">
    <cfRule type="expression" dxfId="492" priority="615" stopIfTrue="1">
      <formula>"mod($A1;2)=0"</formula>
    </cfRule>
  </conditionalFormatting>
  <conditionalFormatting sqref="F82 H82">
    <cfRule type="expression" dxfId="491" priority="614" stopIfTrue="1">
      <formula>"mod($A1;2)=0"</formula>
    </cfRule>
  </conditionalFormatting>
  <conditionalFormatting sqref="G82">
    <cfRule type="expression" dxfId="490" priority="613" stopIfTrue="1">
      <formula>"mod($A1;2)=0"</formula>
    </cfRule>
  </conditionalFormatting>
  <conditionalFormatting sqref="I82 K82">
    <cfRule type="expression" dxfId="489" priority="612" stopIfTrue="1">
      <formula>"mod($A1;2)=0"</formula>
    </cfRule>
  </conditionalFormatting>
  <conditionalFormatting sqref="J82">
    <cfRule type="expression" dxfId="488" priority="611" stopIfTrue="1">
      <formula>"mod($A1;2)=0"</formula>
    </cfRule>
  </conditionalFormatting>
  <conditionalFormatting sqref="L82 N82">
    <cfRule type="expression" dxfId="487" priority="610" stopIfTrue="1">
      <formula>"mod($A1;2)=0"</formula>
    </cfRule>
  </conditionalFormatting>
  <conditionalFormatting sqref="M82">
    <cfRule type="expression" dxfId="486" priority="609" stopIfTrue="1">
      <formula>"mod($A1;2)=0"</formula>
    </cfRule>
  </conditionalFormatting>
  <conditionalFormatting sqref="C107 E107">
    <cfRule type="expression" dxfId="485" priority="608" stopIfTrue="1">
      <formula>"mod($A1;2)=0"</formula>
    </cfRule>
  </conditionalFormatting>
  <conditionalFormatting sqref="D107">
    <cfRule type="expression" dxfId="484" priority="607" stopIfTrue="1">
      <formula>"mod($A1;2)=0"</formula>
    </cfRule>
  </conditionalFormatting>
  <conditionalFormatting sqref="F107 H107">
    <cfRule type="expression" dxfId="483" priority="606" stopIfTrue="1">
      <formula>"mod($A1;2)=0"</formula>
    </cfRule>
  </conditionalFormatting>
  <conditionalFormatting sqref="G107">
    <cfRule type="expression" dxfId="482" priority="605" stopIfTrue="1">
      <formula>"mod($A1;2)=0"</formula>
    </cfRule>
  </conditionalFormatting>
  <conditionalFormatting sqref="I107 K107">
    <cfRule type="expression" dxfId="481" priority="604" stopIfTrue="1">
      <formula>"mod($A1;2)=0"</formula>
    </cfRule>
  </conditionalFormatting>
  <conditionalFormatting sqref="J107">
    <cfRule type="expression" dxfId="480" priority="603" stopIfTrue="1">
      <formula>"mod($A1;2)=0"</formula>
    </cfRule>
  </conditionalFormatting>
  <conditionalFormatting sqref="L107 N107">
    <cfRule type="expression" dxfId="479" priority="602" stopIfTrue="1">
      <formula>"mod($A1;2)=0"</formula>
    </cfRule>
  </conditionalFormatting>
  <conditionalFormatting sqref="M107">
    <cfRule type="expression" dxfId="478" priority="601" stopIfTrue="1">
      <formula>"mod($A1;2)=0"</formula>
    </cfRule>
  </conditionalFormatting>
  <conditionalFormatting sqref="C132 E132">
    <cfRule type="expression" dxfId="477" priority="600" stopIfTrue="1">
      <formula>"mod($A1;2)=0"</formula>
    </cfRule>
  </conditionalFormatting>
  <conditionalFormatting sqref="D132">
    <cfRule type="expression" dxfId="476" priority="599" stopIfTrue="1">
      <formula>"mod($A1;2)=0"</formula>
    </cfRule>
  </conditionalFormatting>
  <conditionalFormatting sqref="F132 H132">
    <cfRule type="expression" dxfId="475" priority="598" stopIfTrue="1">
      <formula>"mod($A1;2)=0"</formula>
    </cfRule>
  </conditionalFormatting>
  <conditionalFormatting sqref="G132">
    <cfRule type="expression" dxfId="474" priority="597" stopIfTrue="1">
      <formula>"mod($A1;2)=0"</formula>
    </cfRule>
  </conditionalFormatting>
  <conditionalFormatting sqref="I132 K132">
    <cfRule type="expression" dxfId="473" priority="596" stopIfTrue="1">
      <formula>"mod($A1;2)=0"</formula>
    </cfRule>
  </conditionalFormatting>
  <conditionalFormatting sqref="J132">
    <cfRule type="expression" dxfId="472" priority="595" stopIfTrue="1">
      <formula>"mod($A1;2)=0"</formula>
    </cfRule>
  </conditionalFormatting>
  <conditionalFormatting sqref="L132 N132">
    <cfRule type="expression" dxfId="471" priority="594" stopIfTrue="1">
      <formula>"mod($A1;2)=0"</formula>
    </cfRule>
  </conditionalFormatting>
  <conditionalFormatting sqref="M132">
    <cfRule type="expression" dxfId="470" priority="593" stopIfTrue="1">
      <formula>"mod($A1;2)=0"</formula>
    </cfRule>
  </conditionalFormatting>
  <conditionalFormatting sqref="C157 E157">
    <cfRule type="expression" dxfId="469" priority="592" stopIfTrue="1">
      <formula>"mod($A1;2)=0"</formula>
    </cfRule>
  </conditionalFormatting>
  <conditionalFormatting sqref="D157">
    <cfRule type="expression" dxfId="468" priority="591" stopIfTrue="1">
      <formula>"mod($A1;2)=0"</formula>
    </cfRule>
  </conditionalFormatting>
  <conditionalFormatting sqref="F157 H157">
    <cfRule type="expression" dxfId="467" priority="590" stopIfTrue="1">
      <formula>"mod($A1;2)=0"</formula>
    </cfRule>
  </conditionalFormatting>
  <conditionalFormatting sqref="G157">
    <cfRule type="expression" dxfId="466" priority="589" stopIfTrue="1">
      <formula>"mod($A1;2)=0"</formula>
    </cfRule>
  </conditionalFormatting>
  <conditionalFormatting sqref="I157 K157">
    <cfRule type="expression" dxfId="465" priority="588" stopIfTrue="1">
      <formula>"mod($A1;2)=0"</formula>
    </cfRule>
  </conditionalFormatting>
  <conditionalFormatting sqref="J157">
    <cfRule type="expression" dxfId="464" priority="587" stopIfTrue="1">
      <formula>"mod($A1;2)=0"</formula>
    </cfRule>
  </conditionalFormatting>
  <conditionalFormatting sqref="L157 N157">
    <cfRule type="expression" dxfId="463" priority="586" stopIfTrue="1">
      <formula>"mod($A1;2)=0"</formula>
    </cfRule>
  </conditionalFormatting>
  <conditionalFormatting sqref="M157">
    <cfRule type="expression" dxfId="462" priority="585" stopIfTrue="1">
      <formula>"mod($A1;2)=0"</formula>
    </cfRule>
  </conditionalFormatting>
  <conditionalFormatting sqref="C182 E182">
    <cfRule type="expression" dxfId="461" priority="584" stopIfTrue="1">
      <formula>"mod($A1;2)=0"</formula>
    </cfRule>
  </conditionalFormatting>
  <conditionalFormatting sqref="D182">
    <cfRule type="expression" dxfId="460" priority="583" stopIfTrue="1">
      <formula>"mod($A1;2)=0"</formula>
    </cfRule>
  </conditionalFormatting>
  <conditionalFormatting sqref="F182 H182">
    <cfRule type="expression" dxfId="459" priority="582" stopIfTrue="1">
      <formula>"mod($A1;2)=0"</formula>
    </cfRule>
  </conditionalFormatting>
  <conditionalFormatting sqref="G182">
    <cfRule type="expression" dxfId="458" priority="581" stopIfTrue="1">
      <formula>"mod($A1;2)=0"</formula>
    </cfRule>
  </conditionalFormatting>
  <conditionalFormatting sqref="I182 K182">
    <cfRule type="expression" dxfId="457" priority="580" stopIfTrue="1">
      <formula>"mod($A1;2)=0"</formula>
    </cfRule>
  </conditionalFormatting>
  <conditionalFormatting sqref="J182">
    <cfRule type="expression" dxfId="456" priority="579" stopIfTrue="1">
      <formula>"mod($A1;2)=0"</formula>
    </cfRule>
  </conditionalFormatting>
  <conditionalFormatting sqref="L182 N182">
    <cfRule type="expression" dxfId="455" priority="578" stopIfTrue="1">
      <formula>"mod($A1;2)=0"</formula>
    </cfRule>
  </conditionalFormatting>
  <conditionalFormatting sqref="M182">
    <cfRule type="expression" dxfId="454" priority="577" stopIfTrue="1">
      <formula>"mod($A1;2)=0"</formula>
    </cfRule>
  </conditionalFormatting>
  <conditionalFormatting sqref="C207 E207">
    <cfRule type="expression" dxfId="453" priority="576" stopIfTrue="1">
      <formula>"mod($A1;2)=0"</formula>
    </cfRule>
  </conditionalFormatting>
  <conditionalFormatting sqref="D207">
    <cfRule type="expression" dxfId="452" priority="575" stopIfTrue="1">
      <formula>"mod($A1;2)=0"</formula>
    </cfRule>
  </conditionalFormatting>
  <conditionalFormatting sqref="F207 H207">
    <cfRule type="expression" dxfId="451" priority="574" stopIfTrue="1">
      <formula>"mod($A1;2)=0"</formula>
    </cfRule>
  </conditionalFormatting>
  <conditionalFormatting sqref="G207">
    <cfRule type="expression" dxfId="450" priority="573" stopIfTrue="1">
      <formula>"mod($A1;2)=0"</formula>
    </cfRule>
  </conditionalFormatting>
  <conditionalFormatting sqref="I207 K207">
    <cfRule type="expression" dxfId="449" priority="572" stopIfTrue="1">
      <formula>"mod($A1;2)=0"</formula>
    </cfRule>
  </conditionalFormatting>
  <conditionalFormatting sqref="J207">
    <cfRule type="expression" dxfId="448" priority="571" stopIfTrue="1">
      <formula>"mod($A1;2)=0"</formula>
    </cfRule>
  </conditionalFormatting>
  <conditionalFormatting sqref="L207 N207">
    <cfRule type="expression" dxfId="447" priority="570" stopIfTrue="1">
      <formula>"mod($A1;2)=0"</formula>
    </cfRule>
  </conditionalFormatting>
  <conditionalFormatting sqref="M207">
    <cfRule type="expression" dxfId="446" priority="569" stopIfTrue="1">
      <formula>"mod($A1;2)=0"</formula>
    </cfRule>
  </conditionalFormatting>
  <conditionalFormatting sqref="C232 E232">
    <cfRule type="expression" dxfId="445" priority="568" stopIfTrue="1">
      <formula>"mod($A1;2)=0"</formula>
    </cfRule>
  </conditionalFormatting>
  <conditionalFormatting sqref="D232">
    <cfRule type="expression" dxfId="444" priority="567" stopIfTrue="1">
      <formula>"mod($A1;2)=0"</formula>
    </cfRule>
  </conditionalFormatting>
  <conditionalFormatting sqref="F232 H232">
    <cfRule type="expression" dxfId="443" priority="566" stopIfTrue="1">
      <formula>"mod($A1;2)=0"</formula>
    </cfRule>
  </conditionalFormatting>
  <conditionalFormatting sqref="G232">
    <cfRule type="expression" dxfId="442" priority="565" stopIfTrue="1">
      <formula>"mod($A1;2)=0"</formula>
    </cfRule>
  </conditionalFormatting>
  <conditionalFormatting sqref="I232 K232">
    <cfRule type="expression" dxfId="441" priority="564" stopIfTrue="1">
      <formula>"mod($A1;2)=0"</formula>
    </cfRule>
  </conditionalFormatting>
  <conditionalFormatting sqref="J232">
    <cfRule type="expression" dxfId="440" priority="563" stopIfTrue="1">
      <formula>"mod($A1;2)=0"</formula>
    </cfRule>
  </conditionalFormatting>
  <conditionalFormatting sqref="L232 N232">
    <cfRule type="expression" dxfId="439" priority="562" stopIfTrue="1">
      <formula>"mod($A1;2)=0"</formula>
    </cfRule>
  </conditionalFormatting>
  <conditionalFormatting sqref="M232">
    <cfRule type="expression" dxfId="438" priority="561" stopIfTrue="1">
      <formula>"mod($A1;2)=0"</formula>
    </cfRule>
  </conditionalFormatting>
  <conditionalFormatting sqref="C257 E257">
    <cfRule type="expression" dxfId="437" priority="560" stopIfTrue="1">
      <formula>"mod($A1;2)=0"</formula>
    </cfRule>
  </conditionalFormatting>
  <conditionalFormatting sqref="D257">
    <cfRule type="expression" dxfId="436" priority="559" stopIfTrue="1">
      <formula>"mod($A1;2)=0"</formula>
    </cfRule>
  </conditionalFormatting>
  <conditionalFormatting sqref="F257 H257">
    <cfRule type="expression" dxfId="435" priority="558" stopIfTrue="1">
      <formula>"mod($A1;2)=0"</formula>
    </cfRule>
  </conditionalFormatting>
  <conditionalFormatting sqref="G257">
    <cfRule type="expression" dxfId="434" priority="557" stopIfTrue="1">
      <formula>"mod($A1;2)=0"</formula>
    </cfRule>
  </conditionalFormatting>
  <conditionalFormatting sqref="I257 K257">
    <cfRule type="expression" dxfId="433" priority="556" stopIfTrue="1">
      <formula>"mod($A1;2)=0"</formula>
    </cfRule>
  </conditionalFormatting>
  <conditionalFormatting sqref="J257">
    <cfRule type="expression" dxfId="432" priority="555" stopIfTrue="1">
      <formula>"mod($A1;2)=0"</formula>
    </cfRule>
  </conditionalFormatting>
  <conditionalFormatting sqref="L257 N257">
    <cfRule type="expression" dxfId="431" priority="554" stopIfTrue="1">
      <formula>"mod($A1;2)=0"</formula>
    </cfRule>
  </conditionalFormatting>
  <conditionalFormatting sqref="M257">
    <cfRule type="expression" dxfId="430" priority="553" stopIfTrue="1">
      <formula>"mod($A1;2)=0"</formula>
    </cfRule>
  </conditionalFormatting>
  <conditionalFormatting sqref="C282 E282">
    <cfRule type="expression" dxfId="429" priority="552" stopIfTrue="1">
      <formula>"mod($A1;2)=0"</formula>
    </cfRule>
  </conditionalFormatting>
  <conditionalFormatting sqref="D282">
    <cfRule type="expression" dxfId="428" priority="551" stopIfTrue="1">
      <formula>"mod($A1;2)=0"</formula>
    </cfRule>
  </conditionalFormatting>
  <conditionalFormatting sqref="F282 H282">
    <cfRule type="expression" dxfId="427" priority="550" stopIfTrue="1">
      <formula>"mod($A1;2)=0"</formula>
    </cfRule>
  </conditionalFormatting>
  <conditionalFormatting sqref="G282">
    <cfRule type="expression" dxfId="426" priority="549" stopIfTrue="1">
      <formula>"mod($A1;2)=0"</formula>
    </cfRule>
  </conditionalFormatting>
  <conditionalFormatting sqref="I282 K282">
    <cfRule type="expression" dxfId="425" priority="548" stopIfTrue="1">
      <formula>"mod($A1;2)=0"</formula>
    </cfRule>
  </conditionalFormatting>
  <conditionalFormatting sqref="J282">
    <cfRule type="expression" dxfId="424" priority="547" stopIfTrue="1">
      <formula>"mod($A1;2)=0"</formula>
    </cfRule>
  </conditionalFormatting>
  <conditionalFormatting sqref="L282 N282">
    <cfRule type="expression" dxfId="423" priority="546" stopIfTrue="1">
      <formula>"mod($A1;2)=0"</formula>
    </cfRule>
  </conditionalFormatting>
  <conditionalFormatting sqref="M282">
    <cfRule type="expression" dxfId="422" priority="545" stopIfTrue="1">
      <formula>"mod($A1;2)=0"</formula>
    </cfRule>
  </conditionalFormatting>
  <conditionalFormatting sqref="C307 E307">
    <cfRule type="expression" dxfId="421" priority="544" stopIfTrue="1">
      <formula>"mod($A1;2)=0"</formula>
    </cfRule>
  </conditionalFormatting>
  <conditionalFormatting sqref="D307">
    <cfRule type="expression" dxfId="420" priority="543" stopIfTrue="1">
      <formula>"mod($A1;2)=0"</formula>
    </cfRule>
  </conditionalFormatting>
  <conditionalFormatting sqref="F307 H307">
    <cfRule type="expression" dxfId="419" priority="542" stopIfTrue="1">
      <formula>"mod($A1;2)=0"</formula>
    </cfRule>
  </conditionalFormatting>
  <conditionalFormatting sqref="G307">
    <cfRule type="expression" dxfId="418" priority="541" stopIfTrue="1">
      <formula>"mod($A1;2)=0"</formula>
    </cfRule>
  </conditionalFormatting>
  <conditionalFormatting sqref="I307 K307">
    <cfRule type="expression" dxfId="417" priority="540" stopIfTrue="1">
      <formula>"mod($A1;2)=0"</formula>
    </cfRule>
  </conditionalFormatting>
  <conditionalFormatting sqref="J307">
    <cfRule type="expression" dxfId="416" priority="539" stopIfTrue="1">
      <formula>"mod($A1;2)=0"</formula>
    </cfRule>
  </conditionalFormatting>
  <conditionalFormatting sqref="L307 N307">
    <cfRule type="expression" dxfId="415" priority="538" stopIfTrue="1">
      <formula>"mod($A1;2)=0"</formula>
    </cfRule>
  </conditionalFormatting>
  <conditionalFormatting sqref="M307">
    <cfRule type="expression" dxfId="414" priority="537" stopIfTrue="1">
      <formula>"mod($A1;2)=0"</formula>
    </cfRule>
  </conditionalFormatting>
  <conditionalFormatting sqref="C332 E332">
    <cfRule type="expression" dxfId="413" priority="536" stopIfTrue="1">
      <formula>"mod($A1;2)=0"</formula>
    </cfRule>
  </conditionalFormatting>
  <conditionalFormatting sqref="D332">
    <cfRule type="expression" dxfId="412" priority="535" stopIfTrue="1">
      <formula>"mod($A1;2)=0"</formula>
    </cfRule>
  </conditionalFormatting>
  <conditionalFormatting sqref="F332 H332">
    <cfRule type="expression" dxfId="411" priority="534" stopIfTrue="1">
      <formula>"mod($A1;2)=0"</formula>
    </cfRule>
  </conditionalFormatting>
  <conditionalFormatting sqref="G332">
    <cfRule type="expression" dxfId="410" priority="533" stopIfTrue="1">
      <formula>"mod($A1;2)=0"</formula>
    </cfRule>
  </conditionalFormatting>
  <conditionalFormatting sqref="I332 K332">
    <cfRule type="expression" dxfId="409" priority="532" stopIfTrue="1">
      <formula>"mod($A1;2)=0"</formula>
    </cfRule>
  </conditionalFormatting>
  <conditionalFormatting sqref="J332">
    <cfRule type="expression" dxfId="408" priority="531" stopIfTrue="1">
      <formula>"mod($A1;2)=0"</formula>
    </cfRule>
  </conditionalFormatting>
  <conditionalFormatting sqref="L332 N332">
    <cfRule type="expression" dxfId="407" priority="530" stopIfTrue="1">
      <formula>"mod($A1;2)=0"</formula>
    </cfRule>
  </conditionalFormatting>
  <conditionalFormatting sqref="M332">
    <cfRule type="expression" dxfId="406" priority="529" stopIfTrue="1">
      <formula>"mod($A1;2)=0"</formula>
    </cfRule>
  </conditionalFormatting>
  <conditionalFormatting sqref="C357 E357">
    <cfRule type="expression" dxfId="405" priority="528" stopIfTrue="1">
      <formula>"mod($A1;2)=0"</formula>
    </cfRule>
  </conditionalFormatting>
  <conditionalFormatting sqref="D357">
    <cfRule type="expression" dxfId="404" priority="527" stopIfTrue="1">
      <formula>"mod($A1;2)=0"</formula>
    </cfRule>
  </conditionalFormatting>
  <conditionalFormatting sqref="F357 H357">
    <cfRule type="expression" dxfId="403" priority="526" stopIfTrue="1">
      <formula>"mod($A1;2)=0"</formula>
    </cfRule>
  </conditionalFormatting>
  <conditionalFormatting sqref="G357">
    <cfRule type="expression" dxfId="402" priority="525" stopIfTrue="1">
      <formula>"mod($A1;2)=0"</formula>
    </cfRule>
  </conditionalFormatting>
  <conditionalFormatting sqref="I357 K357">
    <cfRule type="expression" dxfId="401" priority="524" stopIfTrue="1">
      <formula>"mod($A1;2)=0"</formula>
    </cfRule>
  </conditionalFormatting>
  <conditionalFormatting sqref="J357">
    <cfRule type="expression" dxfId="400" priority="523" stopIfTrue="1">
      <formula>"mod($A1;2)=0"</formula>
    </cfRule>
  </conditionalFormatting>
  <conditionalFormatting sqref="L357 N357">
    <cfRule type="expression" dxfId="399" priority="522" stopIfTrue="1">
      <formula>"mod($A1;2)=0"</formula>
    </cfRule>
  </conditionalFormatting>
  <conditionalFormatting sqref="M357">
    <cfRule type="expression" dxfId="398" priority="521" stopIfTrue="1">
      <formula>"mod($A1;2)=0"</formula>
    </cfRule>
  </conditionalFormatting>
  <conditionalFormatting sqref="C382 E382">
    <cfRule type="expression" dxfId="397" priority="520" stopIfTrue="1">
      <formula>"mod($A1;2)=0"</formula>
    </cfRule>
  </conditionalFormatting>
  <conditionalFormatting sqref="D382">
    <cfRule type="expression" dxfId="396" priority="519" stopIfTrue="1">
      <formula>"mod($A1;2)=0"</formula>
    </cfRule>
  </conditionalFormatting>
  <conditionalFormatting sqref="F382 H382">
    <cfRule type="expression" dxfId="395" priority="518" stopIfTrue="1">
      <formula>"mod($A1;2)=0"</formula>
    </cfRule>
  </conditionalFormatting>
  <conditionalFormatting sqref="G382">
    <cfRule type="expression" dxfId="394" priority="517" stopIfTrue="1">
      <formula>"mod($A1;2)=0"</formula>
    </cfRule>
  </conditionalFormatting>
  <conditionalFormatting sqref="I382 K382">
    <cfRule type="expression" dxfId="393" priority="516" stopIfTrue="1">
      <formula>"mod($A1;2)=0"</formula>
    </cfRule>
  </conditionalFormatting>
  <conditionalFormatting sqref="J382">
    <cfRule type="expression" dxfId="392" priority="515" stopIfTrue="1">
      <formula>"mod($A1;2)=0"</formula>
    </cfRule>
  </conditionalFormatting>
  <conditionalFormatting sqref="L382 N382">
    <cfRule type="expression" dxfId="391" priority="514" stopIfTrue="1">
      <formula>"mod($A1;2)=0"</formula>
    </cfRule>
  </conditionalFormatting>
  <conditionalFormatting sqref="M382">
    <cfRule type="expression" dxfId="390" priority="513" stopIfTrue="1">
      <formula>"mod($A1;2)=0"</formula>
    </cfRule>
  </conditionalFormatting>
  <conditionalFormatting sqref="C407 E407">
    <cfRule type="expression" dxfId="389" priority="512" stopIfTrue="1">
      <formula>"mod($A1;2)=0"</formula>
    </cfRule>
  </conditionalFormatting>
  <conditionalFormatting sqref="D407">
    <cfRule type="expression" dxfId="388" priority="511" stopIfTrue="1">
      <formula>"mod($A1;2)=0"</formula>
    </cfRule>
  </conditionalFormatting>
  <conditionalFormatting sqref="F407 H407">
    <cfRule type="expression" dxfId="387" priority="510" stopIfTrue="1">
      <formula>"mod($A1;2)=0"</formula>
    </cfRule>
  </conditionalFormatting>
  <conditionalFormatting sqref="G407">
    <cfRule type="expression" dxfId="386" priority="509" stopIfTrue="1">
      <formula>"mod($A1;2)=0"</formula>
    </cfRule>
  </conditionalFormatting>
  <conditionalFormatting sqref="I407 K407">
    <cfRule type="expression" dxfId="385" priority="508" stopIfTrue="1">
      <formula>"mod($A1;2)=0"</formula>
    </cfRule>
  </conditionalFormatting>
  <conditionalFormatting sqref="J407">
    <cfRule type="expression" dxfId="384" priority="507" stopIfTrue="1">
      <formula>"mod($A1;2)=0"</formula>
    </cfRule>
  </conditionalFormatting>
  <conditionalFormatting sqref="L407 N407">
    <cfRule type="expression" dxfId="383" priority="506" stopIfTrue="1">
      <formula>"mod($A1;2)=0"</formula>
    </cfRule>
  </conditionalFormatting>
  <conditionalFormatting sqref="M407">
    <cfRule type="expression" dxfId="382" priority="505" stopIfTrue="1">
      <formula>"mod($A1;2)=0"</formula>
    </cfRule>
  </conditionalFormatting>
  <conditionalFormatting sqref="C432 E432">
    <cfRule type="expression" dxfId="381" priority="504" stopIfTrue="1">
      <formula>"mod($A1;2)=0"</formula>
    </cfRule>
  </conditionalFormatting>
  <conditionalFormatting sqref="D432">
    <cfRule type="expression" dxfId="380" priority="503" stopIfTrue="1">
      <formula>"mod($A1;2)=0"</formula>
    </cfRule>
  </conditionalFormatting>
  <conditionalFormatting sqref="F432 H432">
    <cfRule type="expression" dxfId="379" priority="502" stopIfTrue="1">
      <formula>"mod($A1;2)=0"</formula>
    </cfRule>
  </conditionalFormatting>
  <conditionalFormatting sqref="G432">
    <cfRule type="expression" dxfId="378" priority="501" stopIfTrue="1">
      <formula>"mod($A1;2)=0"</formula>
    </cfRule>
  </conditionalFormatting>
  <conditionalFormatting sqref="I432 K432">
    <cfRule type="expression" dxfId="377" priority="500" stopIfTrue="1">
      <formula>"mod($A1;2)=0"</formula>
    </cfRule>
  </conditionalFormatting>
  <conditionalFormatting sqref="J432">
    <cfRule type="expression" dxfId="376" priority="499" stopIfTrue="1">
      <formula>"mod($A1;2)=0"</formula>
    </cfRule>
  </conditionalFormatting>
  <conditionalFormatting sqref="L432 N432">
    <cfRule type="expression" dxfId="375" priority="498" stopIfTrue="1">
      <formula>"mod($A1;2)=0"</formula>
    </cfRule>
  </conditionalFormatting>
  <conditionalFormatting sqref="M432">
    <cfRule type="expression" dxfId="374" priority="497" stopIfTrue="1">
      <formula>"mod($A1;2)=0"</formula>
    </cfRule>
  </conditionalFormatting>
  <conditionalFormatting sqref="C457 E457">
    <cfRule type="expression" dxfId="373" priority="496" stopIfTrue="1">
      <formula>"mod($A1;2)=0"</formula>
    </cfRule>
  </conditionalFormatting>
  <conditionalFormatting sqref="D457">
    <cfRule type="expression" dxfId="372" priority="495" stopIfTrue="1">
      <formula>"mod($A1;2)=0"</formula>
    </cfRule>
  </conditionalFormatting>
  <conditionalFormatting sqref="F457 H457">
    <cfRule type="expression" dxfId="371" priority="494" stopIfTrue="1">
      <formula>"mod($A1;2)=0"</formula>
    </cfRule>
  </conditionalFormatting>
  <conditionalFormatting sqref="G457">
    <cfRule type="expression" dxfId="370" priority="493" stopIfTrue="1">
      <formula>"mod($A1;2)=0"</formula>
    </cfRule>
  </conditionalFormatting>
  <conditionalFormatting sqref="I457 K457">
    <cfRule type="expression" dxfId="369" priority="492" stopIfTrue="1">
      <formula>"mod($A1;2)=0"</formula>
    </cfRule>
  </conditionalFormatting>
  <conditionalFormatting sqref="J457">
    <cfRule type="expression" dxfId="368" priority="491" stopIfTrue="1">
      <formula>"mod($A1;2)=0"</formula>
    </cfRule>
  </conditionalFormatting>
  <conditionalFormatting sqref="L457 N457">
    <cfRule type="expression" dxfId="367" priority="490" stopIfTrue="1">
      <formula>"mod($A1;2)=0"</formula>
    </cfRule>
  </conditionalFormatting>
  <conditionalFormatting sqref="M457">
    <cfRule type="expression" dxfId="366" priority="489" stopIfTrue="1">
      <formula>"mod($A1;2)=0"</formula>
    </cfRule>
  </conditionalFormatting>
  <conditionalFormatting sqref="C482 E482">
    <cfRule type="expression" dxfId="365" priority="488" stopIfTrue="1">
      <formula>"mod($A1;2)=0"</formula>
    </cfRule>
  </conditionalFormatting>
  <conditionalFormatting sqref="D482">
    <cfRule type="expression" dxfId="364" priority="487" stopIfTrue="1">
      <formula>"mod($A1;2)=0"</formula>
    </cfRule>
  </conditionalFormatting>
  <conditionalFormatting sqref="F482 H482">
    <cfRule type="expression" dxfId="363" priority="486" stopIfTrue="1">
      <formula>"mod($A1;2)=0"</formula>
    </cfRule>
  </conditionalFormatting>
  <conditionalFormatting sqref="G482">
    <cfRule type="expression" dxfId="362" priority="485" stopIfTrue="1">
      <formula>"mod($A1;2)=0"</formula>
    </cfRule>
  </conditionalFormatting>
  <conditionalFormatting sqref="I482 K482">
    <cfRule type="expression" dxfId="361" priority="484" stopIfTrue="1">
      <formula>"mod($A1;2)=0"</formula>
    </cfRule>
  </conditionalFormatting>
  <conditionalFormatting sqref="J482">
    <cfRule type="expression" dxfId="360" priority="483" stopIfTrue="1">
      <formula>"mod($A1;2)=0"</formula>
    </cfRule>
  </conditionalFormatting>
  <conditionalFormatting sqref="L482 N482">
    <cfRule type="expression" dxfId="359" priority="482" stopIfTrue="1">
      <formula>"mod($A1;2)=0"</formula>
    </cfRule>
  </conditionalFormatting>
  <conditionalFormatting sqref="M482">
    <cfRule type="expression" dxfId="358" priority="481" stopIfTrue="1">
      <formula>"mod($A1;2)=0"</formula>
    </cfRule>
  </conditionalFormatting>
  <conditionalFormatting sqref="C507 E507">
    <cfRule type="expression" dxfId="357" priority="480" stopIfTrue="1">
      <formula>"mod($A1;2)=0"</formula>
    </cfRule>
  </conditionalFormatting>
  <conditionalFormatting sqref="D507">
    <cfRule type="expression" dxfId="356" priority="479" stopIfTrue="1">
      <formula>"mod($A1;2)=0"</formula>
    </cfRule>
  </conditionalFormatting>
  <conditionalFormatting sqref="F507 H507">
    <cfRule type="expression" dxfId="355" priority="478" stopIfTrue="1">
      <formula>"mod($A1;2)=0"</formula>
    </cfRule>
  </conditionalFormatting>
  <conditionalFormatting sqref="G507">
    <cfRule type="expression" dxfId="354" priority="477" stopIfTrue="1">
      <formula>"mod($A1;2)=0"</formula>
    </cfRule>
  </conditionalFormatting>
  <conditionalFormatting sqref="I507 K507">
    <cfRule type="expression" dxfId="353" priority="476" stopIfTrue="1">
      <formula>"mod($A1;2)=0"</formula>
    </cfRule>
  </conditionalFormatting>
  <conditionalFormatting sqref="J507">
    <cfRule type="expression" dxfId="352" priority="475" stopIfTrue="1">
      <formula>"mod($A1;2)=0"</formula>
    </cfRule>
  </conditionalFormatting>
  <conditionalFormatting sqref="L507 N507">
    <cfRule type="expression" dxfId="351" priority="474" stopIfTrue="1">
      <formula>"mod($A1;2)=0"</formula>
    </cfRule>
  </conditionalFormatting>
  <conditionalFormatting sqref="M507">
    <cfRule type="expression" dxfId="350" priority="473" stopIfTrue="1">
      <formula>"mod($A1;2)=0"</formula>
    </cfRule>
  </conditionalFormatting>
  <conditionalFormatting sqref="C532 E532">
    <cfRule type="expression" dxfId="349" priority="472" stopIfTrue="1">
      <formula>"mod($A1;2)=0"</formula>
    </cfRule>
  </conditionalFormatting>
  <conditionalFormatting sqref="D532">
    <cfRule type="expression" dxfId="348" priority="471" stopIfTrue="1">
      <formula>"mod($A1;2)=0"</formula>
    </cfRule>
  </conditionalFormatting>
  <conditionalFormatting sqref="F532 H532">
    <cfRule type="expression" dxfId="347" priority="470" stopIfTrue="1">
      <formula>"mod($A1;2)=0"</formula>
    </cfRule>
  </conditionalFormatting>
  <conditionalFormatting sqref="G532">
    <cfRule type="expression" dxfId="346" priority="469" stopIfTrue="1">
      <formula>"mod($A1;2)=0"</formula>
    </cfRule>
  </conditionalFormatting>
  <conditionalFormatting sqref="I532 K532">
    <cfRule type="expression" dxfId="345" priority="468" stopIfTrue="1">
      <formula>"mod($A1;2)=0"</formula>
    </cfRule>
  </conditionalFormatting>
  <conditionalFormatting sqref="J532">
    <cfRule type="expression" dxfId="344" priority="467" stopIfTrue="1">
      <formula>"mod($A1;2)=0"</formula>
    </cfRule>
  </conditionalFormatting>
  <conditionalFormatting sqref="L532 N532">
    <cfRule type="expression" dxfId="343" priority="466" stopIfTrue="1">
      <formula>"mod($A1;2)=0"</formula>
    </cfRule>
  </conditionalFormatting>
  <conditionalFormatting sqref="M532">
    <cfRule type="expression" dxfId="342" priority="465" stopIfTrue="1">
      <formula>"mod($A1;2)=0"</formula>
    </cfRule>
  </conditionalFormatting>
  <conditionalFormatting sqref="C557 E557">
    <cfRule type="expression" dxfId="341" priority="464" stopIfTrue="1">
      <formula>"mod($A1;2)=0"</formula>
    </cfRule>
  </conditionalFormatting>
  <conditionalFormatting sqref="D557">
    <cfRule type="expression" dxfId="340" priority="463" stopIfTrue="1">
      <formula>"mod($A1;2)=0"</formula>
    </cfRule>
  </conditionalFormatting>
  <conditionalFormatting sqref="F557 H557">
    <cfRule type="expression" dxfId="339" priority="462" stopIfTrue="1">
      <formula>"mod($A1;2)=0"</formula>
    </cfRule>
  </conditionalFormatting>
  <conditionalFormatting sqref="G557">
    <cfRule type="expression" dxfId="338" priority="461" stopIfTrue="1">
      <formula>"mod($A1;2)=0"</formula>
    </cfRule>
  </conditionalFormatting>
  <conditionalFormatting sqref="I557 K557">
    <cfRule type="expression" dxfId="337" priority="460" stopIfTrue="1">
      <formula>"mod($A1;2)=0"</formula>
    </cfRule>
  </conditionalFormatting>
  <conditionalFormatting sqref="J557">
    <cfRule type="expression" dxfId="336" priority="459" stopIfTrue="1">
      <formula>"mod($A1;2)=0"</formula>
    </cfRule>
  </conditionalFormatting>
  <conditionalFormatting sqref="L557 N557">
    <cfRule type="expression" dxfId="335" priority="458" stopIfTrue="1">
      <formula>"mod($A1;2)=0"</formula>
    </cfRule>
  </conditionalFormatting>
  <conditionalFormatting sqref="M557">
    <cfRule type="expression" dxfId="334" priority="457" stopIfTrue="1">
      <formula>"mod($A1;2)=0"</formula>
    </cfRule>
  </conditionalFormatting>
  <conditionalFormatting sqref="C582 E582">
    <cfRule type="expression" dxfId="333" priority="456" stopIfTrue="1">
      <formula>"mod($A1;2)=0"</formula>
    </cfRule>
  </conditionalFormatting>
  <conditionalFormatting sqref="D582">
    <cfRule type="expression" dxfId="332" priority="455" stopIfTrue="1">
      <formula>"mod($A1;2)=0"</formula>
    </cfRule>
  </conditionalFormatting>
  <conditionalFormatting sqref="F582 H582">
    <cfRule type="expression" dxfId="331" priority="454" stopIfTrue="1">
      <formula>"mod($A1;2)=0"</formula>
    </cfRule>
  </conditionalFormatting>
  <conditionalFormatting sqref="G582">
    <cfRule type="expression" dxfId="330" priority="453" stopIfTrue="1">
      <formula>"mod($A1;2)=0"</formula>
    </cfRule>
  </conditionalFormatting>
  <conditionalFormatting sqref="I582 K582">
    <cfRule type="expression" dxfId="329" priority="452" stopIfTrue="1">
      <formula>"mod($A1;2)=0"</formula>
    </cfRule>
  </conditionalFormatting>
  <conditionalFormatting sqref="J582">
    <cfRule type="expression" dxfId="328" priority="451" stopIfTrue="1">
      <formula>"mod($A1;2)=0"</formula>
    </cfRule>
  </conditionalFormatting>
  <conditionalFormatting sqref="L582 N582">
    <cfRule type="expression" dxfId="327" priority="450" stopIfTrue="1">
      <formula>"mod($A1;2)=0"</formula>
    </cfRule>
  </conditionalFormatting>
  <conditionalFormatting sqref="M582">
    <cfRule type="expression" dxfId="326" priority="449" stopIfTrue="1">
      <formula>"mod($A1;2)=0"</formula>
    </cfRule>
  </conditionalFormatting>
  <conditionalFormatting sqref="C607 E607">
    <cfRule type="expression" dxfId="325" priority="448" stopIfTrue="1">
      <formula>"mod($A1;2)=0"</formula>
    </cfRule>
  </conditionalFormatting>
  <conditionalFormatting sqref="D607">
    <cfRule type="expression" dxfId="324" priority="447" stopIfTrue="1">
      <formula>"mod($A1;2)=0"</formula>
    </cfRule>
  </conditionalFormatting>
  <conditionalFormatting sqref="F607 H607">
    <cfRule type="expression" dxfId="323" priority="446" stopIfTrue="1">
      <formula>"mod($A1;2)=0"</formula>
    </cfRule>
  </conditionalFormatting>
  <conditionalFormatting sqref="G607">
    <cfRule type="expression" dxfId="322" priority="445" stopIfTrue="1">
      <formula>"mod($A1;2)=0"</formula>
    </cfRule>
  </conditionalFormatting>
  <conditionalFormatting sqref="I607 K607">
    <cfRule type="expression" dxfId="321" priority="444" stopIfTrue="1">
      <formula>"mod($A1;2)=0"</formula>
    </cfRule>
  </conditionalFormatting>
  <conditionalFormatting sqref="J607">
    <cfRule type="expression" dxfId="320" priority="443" stopIfTrue="1">
      <formula>"mod($A1;2)=0"</formula>
    </cfRule>
  </conditionalFormatting>
  <conditionalFormatting sqref="L607 N607">
    <cfRule type="expression" dxfId="319" priority="442" stopIfTrue="1">
      <formula>"mod($A1;2)=0"</formula>
    </cfRule>
  </conditionalFormatting>
  <conditionalFormatting sqref="M607">
    <cfRule type="expression" dxfId="318" priority="441" stopIfTrue="1">
      <formula>"mod($A1;2)=0"</formula>
    </cfRule>
  </conditionalFormatting>
  <conditionalFormatting sqref="C632 E632">
    <cfRule type="expression" dxfId="317" priority="440" stopIfTrue="1">
      <formula>"mod($A1;2)=0"</formula>
    </cfRule>
  </conditionalFormatting>
  <conditionalFormatting sqref="D632">
    <cfRule type="expression" dxfId="316" priority="439" stopIfTrue="1">
      <formula>"mod($A1;2)=0"</formula>
    </cfRule>
  </conditionalFormatting>
  <conditionalFormatting sqref="F632 H632">
    <cfRule type="expression" dxfId="315" priority="438" stopIfTrue="1">
      <formula>"mod($A1;2)=0"</formula>
    </cfRule>
  </conditionalFormatting>
  <conditionalFormatting sqref="G632">
    <cfRule type="expression" dxfId="314" priority="437" stopIfTrue="1">
      <formula>"mod($A1;2)=0"</formula>
    </cfRule>
  </conditionalFormatting>
  <conditionalFormatting sqref="I632 K632">
    <cfRule type="expression" dxfId="313" priority="436" stopIfTrue="1">
      <formula>"mod($A1;2)=0"</formula>
    </cfRule>
  </conditionalFormatting>
  <conditionalFormatting sqref="J632">
    <cfRule type="expression" dxfId="312" priority="435" stopIfTrue="1">
      <formula>"mod($A1;2)=0"</formula>
    </cfRule>
  </conditionalFormatting>
  <conditionalFormatting sqref="L632 N632">
    <cfRule type="expression" dxfId="311" priority="434" stopIfTrue="1">
      <formula>"mod($A1;2)=0"</formula>
    </cfRule>
  </conditionalFormatting>
  <conditionalFormatting sqref="M632">
    <cfRule type="expression" dxfId="310" priority="433" stopIfTrue="1">
      <formula>"mod($A1;2)=0"</formula>
    </cfRule>
  </conditionalFormatting>
  <conditionalFormatting sqref="L8:L10">
    <cfRule type="expression" dxfId="309" priority="432" stopIfTrue="1">
      <formula>"mod($A1;2)=0"</formula>
    </cfRule>
  </conditionalFormatting>
  <conditionalFormatting sqref="O33:P45">
    <cfRule type="expression" dxfId="308" priority="431" stopIfTrue="1">
      <formula>"mod($A1;2)=0"</formula>
    </cfRule>
  </conditionalFormatting>
  <conditionalFormatting sqref="M358:N358 B358:E370 L359:N360">
    <cfRule type="expression" dxfId="307" priority="287" stopIfTrue="1">
      <formula>"mod($A1;2)=0"</formula>
    </cfRule>
  </conditionalFormatting>
  <conditionalFormatting sqref="O58:P70">
    <cfRule type="expression" dxfId="306" priority="430" stopIfTrue="1">
      <formula>"mod($A1;2)=0"</formula>
    </cfRule>
  </conditionalFormatting>
  <conditionalFormatting sqref="L333:L335">
    <cfRule type="expression" dxfId="305" priority="292" stopIfTrue="1">
      <formula>"mod($A1;2)=0"</formula>
    </cfRule>
  </conditionalFormatting>
  <conditionalFormatting sqref="O83:P95">
    <cfRule type="expression" dxfId="304" priority="429" stopIfTrue="1">
      <formula>"mod($A1;2)=0"</formula>
    </cfRule>
  </conditionalFormatting>
  <conditionalFormatting sqref="O108:P120">
    <cfRule type="expression" dxfId="303" priority="428" stopIfTrue="1">
      <formula>"mod($A1;2)=0"</formula>
    </cfRule>
  </conditionalFormatting>
  <conditionalFormatting sqref="O133:P145">
    <cfRule type="expression" dxfId="302" priority="427" stopIfTrue="1">
      <formula>"mod($A1;2)=0"</formula>
    </cfRule>
  </conditionalFormatting>
  <conditionalFormatting sqref="O158:P170">
    <cfRule type="expression" dxfId="301" priority="426" stopIfTrue="1">
      <formula>"mod($A1;2)=0"</formula>
    </cfRule>
  </conditionalFormatting>
  <conditionalFormatting sqref="O183:P195">
    <cfRule type="expression" dxfId="300" priority="425" stopIfTrue="1">
      <formula>"mod($A1;2)=0"</formula>
    </cfRule>
  </conditionalFormatting>
  <conditionalFormatting sqref="O208:P220">
    <cfRule type="expression" dxfId="299" priority="424" stopIfTrue="1">
      <formula>"mod($A1;2)=0"</formula>
    </cfRule>
  </conditionalFormatting>
  <conditionalFormatting sqref="M233:N233 B233:E245 L234:N235">
    <cfRule type="expression" dxfId="298" priority="322" stopIfTrue="1">
      <formula>"mod($A1;2)=0"</formula>
    </cfRule>
  </conditionalFormatting>
  <conditionalFormatting sqref="O233:P245">
    <cfRule type="expression" dxfId="297" priority="423" stopIfTrue="1">
      <formula>"mod($A1;2)=0"</formula>
    </cfRule>
  </conditionalFormatting>
  <conditionalFormatting sqref="L208:L210">
    <cfRule type="expression" dxfId="296" priority="327" stopIfTrue="1">
      <formula>"mod($A1;2)=0"</formula>
    </cfRule>
  </conditionalFormatting>
  <conditionalFormatting sqref="O258:P270">
    <cfRule type="expression" dxfId="295" priority="422" stopIfTrue="1">
      <formula>"mod($A1;2)=0"</formula>
    </cfRule>
  </conditionalFormatting>
  <conditionalFormatting sqref="O283:P295">
    <cfRule type="expression" dxfId="294" priority="421" stopIfTrue="1">
      <formula>"mod($A1;2)=0"</formula>
    </cfRule>
  </conditionalFormatting>
  <conditionalFormatting sqref="O308:P320">
    <cfRule type="expression" dxfId="293" priority="420" stopIfTrue="1">
      <formula>"mod($A1;2)=0"</formula>
    </cfRule>
  </conditionalFormatting>
  <conditionalFormatting sqref="O333:P345">
    <cfRule type="expression" dxfId="292" priority="419" stopIfTrue="1">
      <formula>"mod($A1;2)=0"</formula>
    </cfRule>
  </conditionalFormatting>
  <conditionalFormatting sqref="O358:P370">
    <cfRule type="expression" dxfId="291" priority="418" stopIfTrue="1">
      <formula>"mod($A1;2)=0"</formula>
    </cfRule>
  </conditionalFormatting>
  <conditionalFormatting sqref="O383:P395">
    <cfRule type="expression" dxfId="290" priority="417" stopIfTrue="1">
      <formula>"mod($A1;2)=0"</formula>
    </cfRule>
  </conditionalFormatting>
  <conditionalFormatting sqref="M108:N108 B108:E120 L109:N110">
    <cfRule type="expression" dxfId="289" priority="357" stopIfTrue="1">
      <formula>"mod($A1;2)=0"</formula>
    </cfRule>
  </conditionalFormatting>
  <conditionalFormatting sqref="O408:P420">
    <cfRule type="expression" dxfId="288" priority="416" stopIfTrue="1">
      <formula>"mod($A1;2)=0"</formula>
    </cfRule>
  </conditionalFormatting>
  <conditionalFormatting sqref="L83:L85">
    <cfRule type="expression" dxfId="287" priority="362" stopIfTrue="1">
      <formula>"mod($A1;2)=0"</formula>
    </cfRule>
  </conditionalFormatting>
  <conditionalFormatting sqref="O433:P445">
    <cfRule type="expression" dxfId="286" priority="415" stopIfTrue="1">
      <formula>"mod($A1;2)=0"</formula>
    </cfRule>
  </conditionalFormatting>
  <conditionalFormatting sqref="O458:P470">
    <cfRule type="expression" dxfId="285" priority="414" stopIfTrue="1">
      <formula>"mod($A1;2)=0"</formula>
    </cfRule>
  </conditionalFormatting>
  <conditionalFormatting sqref="O483:P495">
    <cfRule type="expression" dxfId="284" priority="413" stopIfTrue="1">
      <formula>"mod($A1;2)=0"</formula>
    </cfRule>
  </conditionalFormatting>
  <conditionalFormatting sqref="O508:P520">
    <cfRule type="expression" dxfId="283" priority="412" stopIfTrue="1">
      <formula>"mod($A1;2)=0"</formula>
    </cfRule>
  </conditionalFormatting>
  <conditionalFormatting sqref="O533:P545">
    <cfRule type="expression" dxfId="282" priority="411" stopIfTrue="1">
      <formula>"mod($A1;2)=0"</formula>
    </cfRule>
  </conditionalFormatting>
  <conditionalFormatting sqref="Q606:Q607 R607:S607 T606:AA607">
    <cfRule type="expression" dxfId="281" priority="384" stopIfTrue="1">
      <formula>"mod($A1;2)=0"</formula>
    </cfRule>
  </conditionalFormatting>
  <conditionalFormatting sqref="O558:P570">
    <cfRule type="expression" dxfId="280" priority="410" stopIfTrue="1">
      <formula>"mod($A1;2)=0"</formula>
    </cfRule>
  </conditionalFormatting>
  <conditionalFormatting sqref="Q481:Q482 R482:S482 T481:AA482">
    <cfRule type="expression" dxfId="279" priority="389" stopIfTrue="1">
      <formula>"mod($A1;2)=0"</formula>
    </cfRule>
  </conditionalFormatting>
  <conditionalFormatting sqref="O583:P595">
    <cfRule type="expression" dxfId="278" priority="409" stopIfTrue="1">
      <formula>"mod($A1;2)=0"</formula>
    </cfRule>
  </conditionalFormatting>
  <conditionalFormatting sqref="Q356:Q357 R357:S357 T356:AA357">
    <cfRule type="expression" dxfId="277" priority="394" stopIfTrue="1">
      <formula>"mod($A1;2)=0"</formula>
    </cfRule>
  </conditionalFormatting>
  <conditionalFormatting sqref="O608:P620">
    <cfRule type="expression" dxfId="276" priority="408" stopIfTrue="1">
      <formula>"mod($A1;2)=0"</formula>
    </cfRule>
  </conditionalFormatting>
  <conditionalFormatting sqref="Q231:Q232 R232:S232 T231:AA232">
    <cfRule type="expression" dxfId="275" priority="399" stopIfTrue="1">
      <formula>"mod($A1;2)=0"</formula>
    </cfRule>
  </conditionalFormatting>
  <conditionalFormatting sqref="Q31:Q32 R32:S32 T31:AA32">
    <cfRule type="expression" dxfId="274" priority="407" stopIfTrue="1">
      <formula>"mod($A1;2)=0"</formula>
    </cfRule>
  </conditionalFormatting>
  <conditionalFormatting sqref="Q56:Q57 R57:S57 T56:AA57">
    <cfRule type="expression" dxfId="273" priority="406" stopIfTrue="1">
      <formula>"mod($A1;2)=0"</formula>
    </cfRule>
  </conditionalFormatting>
  <conditionalFormatting sqref="Q81:Q82 R82:S82 T81:AA82">
    <cfRule type="expression" dxfId="272" priority="405" stopIfTrue="1">
      <formula>"mod($A1;2)=0"</formula>
    </cfRule>
  </conditionalFormatting>
  <conditionalFormatting sqref="Q106:Q107 R107:S107 T106:AA107">
    <cfRule type="expression" dxfId="271" priority="404" stopIfTrue="1">
      <formula>"mod($A1;2)=0"</formula>
    </cfRule>
  </conditionalFormatting>
  <conditionalFormatting sqref="Q131:Q132 R132:S132 T131:AA132">
    <cfRule type="expression" dxfId="270" priority="403" stopIfTrue="1">
      <formula>"mod($A1;2)=0"</formula>
    </cfRule>
  </conditionalFormatting>
  <conditionalFormatting sqref="Q156:Q157 R157:S157 T156:AA157">
    <cfRule type="expression" dxfId="269" priority="402" stopIfTrue="1">
      <formula>"mod($A1;2)=0"</formula>
    </cfRule>
  </conditionalFormatting>
  <conditionalFormatting sqref="Q181:Q182 R182:S182 T181:AA182">
    <cfRule type="expression" dxfId="268" priority="401" stopIfTrue="1">
      <formula>"mod($A1;2)=0"</formula>
    </cfRule>
  </conditionalFormatting>
  <conditionalFormatting sqref="Q206:Q207 R207:S207 T206:AA207">
    <cfRule type="expression" dxfId="267" priority="400" stopIfTrue="1">
      <formula>"mod($A1;2)=0"</formula>
    </cfRule>
  </conditionalFormatting>
  <conditionalFormatting sqref="Q256:Q257 R257:S257 T256:AA257">
    <cfRule type="expression" dxfId="266" priority="398" stopIfTrue="1">
      <formula>"mod($A1;2)=0"</formula>
    </cfRule>
  </conditionalFormatting>
  <conditionalFormatting sqref="Q281:Q282 R282:S282 T281:AA282">
    <cfRule type="expression" dxfId="265" priority="397" stopIfTrue="1">
      <formula>"mod($A1;2)=0"</formula>
    </cfRule>
  </conditionalFormatting>
  <conditionalFormatting sqref="Q306:Q307 R307:S307 T306:AA307">
    <cfRule type="expression" dxfId="264" priority="396" stopIfTrue="1">
      <formula>"mod($A1;2)=0"</formula>
    </cfRule>
  </conditionalFormatting>
  <conditionalFormatting sqref="Q331:Q332 R332:S332 T331:AA332">
    <cfRule type="expression" dxfId="263" priority="395" stopIfTrue="1">
      <formula>"mod($A1;2)=0"</formula>
    </cfRule>
  </conditionalFormatting>
  <conditionalFormatting sqref="Q381:Q382 R382:S382 T381:AA382">
    <cfRule type="expression" dxfId="262" priority="393" stopIfTrue="1">
      <formula>"mod($A1;2)=0"</formula>
    </cfRule>
  </conditionalFormatting>
  <conditionalFormatting sqref="Q406:Q407 R407:S407 T406:AA407">
    <cfRule type="expression" dxfId="261" priority="392" stopIfTrue="1">
      <formula>"mod($A1;2)=0"</formula>
    </cfRule>
  </conditionalFormatting>
  <conditionalFormatting sqref="Q431:Q432 R432:S432 T431:AA432">
    <cfRule type="expression" dxfId="260" priority="391" stopIfTrue="1">
      <formula>"mod($A1;2)=0"</formula>
    </cfRule>
  </conditionalFormatting>
  <conditionalFormatting sqref="Q456:Q457 R457:S457 T456:AA457">
    <cfRule type="expression" dxfId="259" priority="390" stopIfTrue="1">
      <formula>"mod($A1;2)=0"</formula>
    </cfRule>
  </conditionalFormatting>
  <conditionalFormatting sqref="Q506:Q507 R507:S507 T506:AA507">
    <cfRule type="expression" dxfId="258" priority="388" stopIfTrue="1">
      <formula>"mod($A1;2)=0"</formula>
    </cfRule>
  </conditionalFormatting>
  <conditionalFormatting sqref="Q531:Q532 R532:S532 T531:AA532">
    <cfRule type="expression" dxfId="257" priority="387" stopIfTrue="1">
      <formula>"mod($A1;2)=0"</formula>
    </cfRule>
  </conditionalFormatting>
  <conditionalFormatting sqref="Q556:Q557 R557:S557 T556:AA557">
    <cfRule type="expression" dxfId="256" priority="386" stopIfTrue="1">
      <formula>"mod($A1;2)=0"</formula>
    </cfRule>
  </conditionalFormatting>
  <conditionalFormatting sqref="Q581:Q582 R582:S582 T581:AA582">
    <cfRule type="expression" dxfId="255" priority="385" stopIfTrue="1">
      <formula>"mod($A1;2)=0"</formula>
    </cfRule>
  </conditionalFormatting>
  <conditionalFormatting sqref="Q631:Q632 R632:S632 T631:AA632">
    <cfRule type="expression" dxfId="254" priority="383" stopIfTrue="1">
      <formula>"mod($A1;2)=0"</formula>
    </cfRule>
  </conditionalFormatting>
  <conditionalFormatting sqref="L21:N28">
    <cfRule type="cellIs" dxfId="253" priority="382" operator="notEqual">
      <formula>0</formula>
    </cfRule>
  </conditionalFormatting>
  <conditionalFormatting sqref="C22:E28">
    <cfRule type="cellIs" dxfId="252" priority="381" operator="notEqual">
      <formula>0</formula>
    </cfRule>
  </conditionalFormatting>
  <conditionalFormatting sqref="L30:N30">
    <cfRule type="cellIs" dxfId="251" priority="380" operator="greaterThan">
      <formula>10</formula>
    </cfRule>
  </conditionalFormatting>
  <conditionalFormatting sqref="E30">
    <cfRule type="cellIs" dxfId="250" priority="379" operator="greaterThan">
      <formula>8</formula>
    </cfRule>
  </conditionalFormatting>
  <conditionalFormatting sqref="M33:N33 J33:K33 J34:N35 J36:K45 B33:I45">
    <cfRule type="expression" dxfId="249" priority="378" stopIfTrue="1">
      <formula>"mod($A1;2)=0"</formula>
    </cfRule>
  </conditionalFormatting>
  <conditionalFormatting sqref="L33:L35">
    <cfRule type="expression" dxfId="248" priority="376" stopIfTrue="1">
      <formula>"mod($A1;2)=0"</formula>
    </cfRule>
  </conditionalFormatting>
  <conditionalFormatting sqref="M58:N58 B58:E70 L59:N60">
    <cfRule type="expression" dxfId="247" priority="371" stopIfTrue="1">
      <formula>"mod($A1;2)=0"</formula>
    </cfRule>
  </conditionalFormatting>
  <conditionalFormatting sqref="L58:L60">
    <cfRule type="expression" dxfId="246" priority="369" stopIfTrue="1">
      <formula>"mod($A1;2)=0"</formula>
    </cfRule>
  </conditionalFormatting>
  <conditionalFormatting sqref="M83:N83 B83:E95 L84:N85">
    <cfRule type="expression" dxfId="245" priority="364" stopIfTrue="1">
      <formula>"mod($A1;2)=0"</formula>
    </cfRule>
  </conditionalFormatting>
  <conditionalFormatting sqref="L108:L110">
    <cfRule type="expression" dxfId="244" priority="355" stopIfTrue="1">
      <formula>"mod($A1;2)=0"</formula>
    </cfRule>
  </conditionalFormatting>
  <conditionalFormatting sqref="M133:N133 B133:E145 L134:N135">
    <cfRule type="expression" dxfId="243" priority="350" stopIfTrue="1">
      <formula>"mod($A1;2)=0"</formula>
    </cfRule>
  </conditionalFormatting>
  <conditionalFormatting sqref="L133:L135">
    <cfRule type="expression" dxfId="242" priority="348" stopIfTrue="1">
      <formula>"mod($A1;2)=0"</formula>
    </cfRule>
  </conditionalFormatting>
  <conditionalFormatting sqref="M158:N158 B158:E170 L159:N160">
    <cfRule type="expression" dxfId="241" priority="343" stopIfTrue="1">
      <formula>"mod($A1;2)=0"</formula>
    </cfRule>
  </conditionalFormatting>
  <conditionalFormatting sqref="L158:L160">
    <cfRule type="expression" dxfId="240" priority="341" stopIfTrue="1">
      <formula>"mod($A1;2)=0"</formula>
    </cfRule>
  </conditionalFormatting>
  <conditionalFormatting sqref="M183:N183 B183:E195 L184:N185">
    <cfRule type="expression" dxfId="239" priority="336" stopIfTrue="1">
      <formula>"mod($A1;2)=0"</formula>
    </cfRule>
  </conditionalFormatting>
  <conditionalFormatting sqref="L183:L185">
    <cfRule type="expression" dxfId="238" priority="334" stopIfTrue="1">
      <formula>"mod($A1;2)=0"</formula>
    </cfRule>
  </conditionalFormatting>
  <conditionalFormatting sqref="M208:N208 B208:E220 L209:N210">
    <cfRule type="expression" dxfId="237" priority="329" stopIfTrue="1">
      <formula>"mod($A1;2)=0"</formula>
    </cfRule>
  </conditionalFormatting>
  <conditionalFormatting sqref="L233:L235">
    <cfRule type="expression" dxfId="236" priority="320" stopIfTrue="1">
      <formula>"mod($A1;2)=0"</formula>
    </cfRule>
  </conditionalFormatting>
  <conditionalFormatting sqref="M258:N258 B258:E270 L259:N260">
    <cfRule type="expression" dxfId="235" priority="315" stopIfTrue="1">
      <formula>"mod($A1;2)=0"</formula>
    </cfRule>
  </conditionalFormatting>
  <conditionalFormatting sqref="L258:L260">
    <cfRule type="expression" dxfId="234" priority="313" stopIfTrue="1">
      <formula>"mod($A1;2)=0"</formula>
    </cfRule>
  </conditionalFormatting>
  <conditionalFormatting sqref="M283:N283 B283:E295 L284:N285">
    <cfRule type="expression" dxfId="233" priority="308" stopIfTrue="1">
      <formula>"mod($A1;2)=0"</formula>
    </cfRule>
  </conditionalFormatting>
  <conditionalFormatting sqref="L283:L285">
    <cfRule type="expression" dxfId="232" priority="306" stopIfTrue="1">
      <formula>"mod($A1;2)=0"</formula>
    </cfRule>
  </conditionalFormatting>
  <conditionalFormatting sqref="M308:N308 B308:E320 L309:N310">
    <cfRule type="expression" dxfId="231" priority="301" stopIfTrue="1">
      <formula>"mod($A1;2)=0"</formula>
    </cfRule>
  </conditionalFormatting>
  <conditionalFormatting sqref="L308:L310">
    <cfRule type="expression" dxfId="230" priority="299" stopIfTrue="1">
      <formula>"mod($A1;2)=0"</formula>
    </cfRule>
  </conditionalFormatting>
  <conditionalFormatting sqref="M333:N333 B333:E345 L334:N335">
    <cfRule type="expression" dxfId="229" priority="294" stopIfTrue="1">
      <formula>"mod($A1;2)=0"</formula>
    </cfRule>
  </conditionalFormatting>
  <conditionalFormatting sqref="L358:L360">
    <cfRule type="expression" dxfId="228" priority="285" stopIfTrue="1">
      <formula>"mod($A1;2)=0"</formula>
    </cfRule>
  </conditionalFormatting>
  <conditionalFormatting sqref="O631:P632">
    <cfRule type="expression" dxfId="227" priority="210" stopIfTrue="1">
      <formula>"mod($A1;2)=0"</formula>
    </cfRule>
  </conditionalFormatting>
  <conditionalFormatting sqref="B383:C395 D383:K383 M383:N383 D384:N385 D386:K395">
    <cfRule type="expression" dxfId="226" priority="280" stopIfTrue="1">
      <formula>"mod($A1;2)=0"</formula>
    </cfRule>
  </conditionalFormatting>
  <conditionalFormatting sqref="L383:L385">
    <cfRule type="expression" dxfId="225" priority="278" stopIfTrue="1">
      <formula>"mod($A1;2)=0"</formula>
    </cfRule>
  </conditionalFormatting>
  <conditionalFormatting sqref="B408:C420 D408:K408 M408:N408 D409:N410 D411:K420">
    <cfRule type="expression" dxfId="224" priority="273" stopIfTrue="1">
      <formula>"mod($A1;2)=0"</formula>
    </cfRule>
  </conditionalFormatting>
  <conditionalFormatting sqref="L408:L410">
    <cfRule type="expression" dxfId="223" priority="271" stopIfTrue="1">
      <formula>"mod($A1;2)=0"</formula>
    </cfRule>
  </conditionalFormatting>
  <conditionalFormatting sqref="B433:C445 D433:K433 M433:N433 D434:N435 D436:K445">
    <cfRule type="expression" dxfId="222" priority="266" stopIfTrue="1">
      <formula>"mod($A1;2)=0"</formula>
    </cfRule>
  </conditionalFormatting>
  <conditionalFormatting sqref="L433:L435">
    <cfRule type="expression" dxfId="221" priority="264" stopIfTrue="1">
      <formula>"mod($A1;2)=0"</formula>
    </cfRule>
  </conditionalFormatting>
  <conditionalFormatting sqref="B458:C470 D458:K458 M458:N458 D459:N460 D461:K470">
    <cfRule type="expression" dxfId="220" priority="259" stopIfTrue="1">
      <formula>"mod($A1;2)=0"</formula>
    </cfRule>
  </conditionalFormatting>
  <conditionalFormatting sqref="L458:L460">
    <cfRule type="expression" dxfId="219" priority="257" stopIfTrue="1">
      <formula>"mod($A1;2)=0"</formula>
    </cfRule>
  </conditionalFormatting>
  <conditionalFormatting sqref="B483:C495 D483:K483 M483:N483 D484:N485 D486:K495">
    <cfRule type="expression" dxfId="218" priority="252" stopIfTrue="1">
      <formula>"mod($A1;2)=0"</formula>
    </cfRule>
  </conditionalFormatting>
  <conditionalFormatting sqref="L483:L485">
    <cfRule type="expression" dxfId="217" priority="250" stopIfTrue="1">
      <formula>"mod($A1;2)=0"</formula>
    </cfRule>
  </conditionalFormatting>
  <conditionalFormatting sqref="B508:C520 D508:K508 M508:N508 D509:N510 D511:K520">
    <cfRule type="expression" dxfId="216" priority="245" stopIfTrue="1">
      <formula>"mod($A1;2)=0"</formula>
    </cfRule>
  </conditionalFormatting>
  <conditionalFormatting sqref="L508:L510">
    <cfRule type="expression" dxfId="215" priority="243" stopIfTrue="1">
      <formula>"mod($A1;2)=0"</formula>
    </cfRule>
  </conditionalFormatting>
  <conditionalFormatting sqref="B533:C545 D533:K533 M533:N533 D534:N535 D536:K545">
    <cfRule type="expression" dxfId="214" priority="238" stopIfTrue="1">
      <formula>"mod($A1;2)=0"</formula>
    </cfRule>
  </conditionalFormatting>
  <conditionalFormatting sqref="L533:L535">
    <cfRule type="expression" dxfId="213" priority="236" stopIfTrue="1">
      <formula>"mod($A1;2)=0"</formula>
    </cfRule>
  </conditionalFormatting>
  <conditionalFormatting sqref="B558:C570 D558:K558 M558:N558 D559:N560 D561:K570">
    <cfRule type="expression" dxfId="212" priority="231" stopIfTrue="1">
      <formula>"mod($A1;2)=0"</formula>
    </cfRule>
  </conditionalFormatting>
  <conditionalFormatting sqref="L558:L560">
    <cfRule type="expression" dxfId="211" priority="229" stopIfTrue="1">
      <formula>"mod($A1;2)=0"</formula>
    </cfRule>
  </conditionalFormatting>
  <conditionalFormatting sqref="B583:C595 D583:K583 M583:N583 D584:N585 D586:K595">
    <cfRule type="expression" dxfId="210" priority="224" stopIfTrue="1">
      <formula>"mod($A1;2)=0"</formula>
    </cfRule>
  </conditionalFormatting>
  <conditionalFormatting sqref="L583:L585">
    <cfRule type="expression" dxfId="209" priority="222" stopIfTrue="1">
      <formula>"mod($A1;2)=0"</formula>
    </cfRule>
  </conditionalFormatting>
  <conditionalFormatting sqref="B608:C620 D608:K608 M608:N608 D609:N610 D611:K620">
    <cfRule type="expression" dxfId="208" priority="217" stopIfTrue="1">
      <formula>"mod($A1;2)=0"</formula>
    </cfRule>
  </conditionalFormatting>
  <conditionalFormatting sqref="L608:L610">
    <cfRule type="expression" dxfId="207" priority="215" stopIfTrue="1">
      <formula>"mod($A1;2)=0"</formula>
    </cfRule>
  </conditionalFormatting>
  <conditionalFormatting sqref="C54:E54">
    <cfRule type="expression" dxfId="206" priority="173" stopIfTrue="1">
      <formula>"mod($A1;2)=0"</formula>
    </cfRule>
  </conditionalFormatting>
  <conditionalFormatting sqref="L46:N53">
    <cfRule type="cellIs" dxfId="205" priority="172" operator="notEqual">
      <formula>0</formula>
    </cfRule>
  </conditionalFormatting>
  <conditionalFormatting sqref="C47:E53">
    <cfRule type="cellIs" dxfId="204" priority="171" operator="notEqual">
      <formula>0</formula>
    </cfRule>
  </conditionalFormatting>
  <conditionalFormatting sqref="L55:N55">
    <cfRule type="cellIs" dxfId="203" priority="170" operator="greaterThan">
      <formula>10</formula>
    </cfRule>
  </conditionalFormatting>
  <conditionalFormatting sqref="E55">
    <cfRule type="cellIs" dxfId="202" priority="169" operator="greaterThan">
      <formula>8</formula>
    </cfRule>
  </conditionalFormatting>
  <conditionalFormatting sqref="C79:E79">
    <cfRule type="expression" dxfId="201" priority="168" stopIfTrue="1">
      <formula>"mod($A1;2)=0"</formula>
    </cfRule>
  </conditionalFormatting>
  <conditionalFormatting sqref="L71:N78">
    <cfRule type="cellIs" dxfId="200" priority="167" operator="notEqual">
      <formula>0</formula>
    </cfRule>
  </conditionalFormatting>
  <conditionalFormatting sqref="C72:E78">
    <cfRule type="cellIs" dxfId="199" priority="166" operator="notEqual">
      <formula>0</formula>
    </cfRule>
  </conditionalFormatting>
  <conditionalFormatting sqref="L80:N80">
    <cfRule type="cellIs" dxfId="198" priority="165" operator="greaterThan">
      <formula>10</formula>
    </cfRule>
  </conditionalFormatting>
  <conditionalFormatting sqref="E80">
    <cfRule type="cellIs" dxfId="197" priority="164" operator="greaterThan">
      <formula>8</formula>
    </cfRule>
  </conditionalFormatting>
  <conditionalFormatting sqref="C104:E104">
    <cfRule type="expression" dxfId="196" priority="163" stopIfTrue="1">
      <formula>"mod($A1;2)=0"</formula>
    </cfRule>
  </conditionalFormatting>
  <conditionalFormatting sqref="L96:N103">
    <cfRule type="cellIs" dxfId="195" priority="162" operator="notEqual">
      <formula>0</formula>
    </cfRule>
  </conditionalFormatting>
  <conditionalFormatting sqref="C97:E103">
    <cfRule type="cellIs" dxfId="194" priority="161" operator="notEqual">
      <formula>0</formula>
    </cfRule>
  </conditionalFormatting>
  <conditionalFormatting sqref="L105:N105">
    <cfRule type="cellIs" dxfId="193" priority="160" operator="greaterThan">
      <formula>10</formula>
    </cfRule>
  </conditionalFormatting>
  <conditionalFormatting sqref="E105">
    <cfRule type="cellIs" dxfId="192" priority="159" operator="greaterThan">
      <formula>8</formula>
    </cfRule>
  </conditionalFormatting>
  <conditionalFormatting sqref="C129:E129">
    <cfRule type="expression" dxfId="191" priority="158" stopIfTrue="1">
      <formula>"mod($A1;2)=0"</formula>
    </cfRule>
  </conditionalFormatting>
  <conditionalFormatting sqref="L121:N128">
    <cfRule type="cellIs" dxfId="190" priority="157" operator="notEqual">
      <formula>0</formula>
    </cfRule>
  </conditionalFormatting>
  <conditionalFormatting sqref="C122:E128">
    <cfRule type="cellIs" dxfId="189" priority="156" operator="notEqual">
      <formula>0</formula>
    </cfRule>
  </conditionalFormatting>
  <conditionalFormatting sqref="L130:N130">
    <cfRule type="cellIs" dxfId="188" priority="155" operator="greaterThan">
      <formula>10</formula>
    </cfRule>
  </conditionalFormatting>
  <conditionalFormatting sqref="E130">
    <cfRule type="cellIs" dxfId="187" priority="154" operator="greaterThan">
      <formula>8</formula>
    </cfRule>
  </conditionalFormatting>
  <conditionalFormatting sqref="C154:E154">
    <cfRule type="expression" dxfId="186" priority="153" stopIfTrue="1">
      <formula>"mod($A1;2)=0"</formula>
    </cfRule>
  </conditionalFormatting>
  <conditionalFormatting sqref="L146:N153">
    <cfRule type="cellIs" dxfId="185" priority="152" operator="notEqual">
      <formula>0</formula>
    </cfRule>
  </conditionalFormatting>
  <conditionalFormatting sqref="C147:E153">
    <cfRule type="cellIs" dxfId="184" priority="151" operator="notEqual">
      <formula>0</formula>
    </cfRule>
  </conditionalFormatting>
  <conditionalFormatting sqref="L155:N155">
    <cfRule type="cellIs" dxfId="183" priority="150" operator="greaterThan">
      <formula>10</formula>
    </cfRule>
  </conditionalFormatting>
  <conditionalFormatting sqref="E155">
    <cfRule type="cellIs" dxfId="182" priority="149" operator="greaterThan">
      <formula>8</formula>
    </cfRule>
  </conditionalFormatting>
  <conditionalFormatting sqref="C179:E179">
    <cfRule type="expression" dxfId="181" priority="148" stopIfTrue="1">
      <formula>"mod($A1;2)=0"</formula>
    </cfRule>
  </conditionalFormatting>
  <conditionalFormatting sqref="L171:N178">
    <cfRule type="cellIs" dxfId="180" priority="147" operator="notEqual">
      <formula>0</formula>
    </cfRule>
  </conditionalFormatting>
  <conditionalFormatting sqref="C172:E178">
    <cfRule type="cellIs" dxfId="179" priority="146" operator="notEqual">
      <formula>0</formula>
    </cfRule>
  </conditionalFormatting>
  <conditionalFormatting sqref="L180:N180">
    <cfRule type="cellIs" dxfId="178" priority="145" operator="greaterThan">
      <formula>10</formula>
    </cfRule>
  </conditionalFormatting>
  <conditionalFormatting sqref="E180">
    <cfRule type="cellIs" dxfId="177" priority="144" operator="greaterThan">
      <formula>8</formula>
    </cfRule>
  </conditionalFormatting>
  <conditionalFormatting sqref="C204:E204">
    <cfRule type="expression" dxfId="176" priority="143" stopIfTrue="1">
      <formula>"mod($A1;2)=0"</formula>
    </cfRule>
  </conditionalFormatting>
  <conditionalFormatting sqref="L196:N203">
    <cfRule type="cellIs" dxfId="175" priority="142" operator="notEqual">
      <formula>0</formula>
    </cfRule>
  </conditionalFormatting>
  <conditionalFormatting sqref="C197:E203">
    <cfRule type="cellIs" dxfId="174" priority="141" operator="notEqual">
      <formula>0</formula>
    </cfRule>
  </conditionalFormatting>
  <conditionalFormatting sqref="L205:N205">
    <cfRule type="cellIs" dxfId="173" priority="140" operator="greaterThan">
      <formula>10</formula>
    </cfRule>
  </conditionalFormatting>
  <conditionalFormatting sqref="E205">
    <cfRule type="cellIs" dxfId="172" priority="139" operator="greaterThan">
      <formula>8</formula>
    </cfRule>
  </conditionalFormatting>
  <conditionalFormatting sqref="C229:E229">
    <cfRule type="expression" dxfId="171" priority="138" stopIfTrue="1">
      <formula>"mod($A1;2)=0"</formula>
    </cfRule>
  </conditionalFormatting>
  <conditionalFormatting sqref="L221:N228">
    <cfRule type="cellIs" dxfId="170" priority="137" operator="notEqual">
      <formula>0</formula>
    </cfRule>
  </conditionalFormatting>
  <conditionalFormatting sqref="C222:E228">
    <cfRule type="cellIs" dxfId="169" priority="136" operator="notEqual">
      <formula>0</formula>
    </cfRule>
  </conditionalFormatting>
  <conditionalFormatting sqref="L230:N230">
    <cfRule type="cellIs" dxfId="168" priority="135" operator="greaterThan">
      <formula>10</formula>
    </cfRule>
  </conditionalFormatting>
  <conditionalFormatting sqref="E230">
    <cfRule type="cellIs" dxfId="167" priority="134" operator="greaterThan">
      <formula>8</formula>
    </cfRule>
  </conditionalFormatting>
  <conditionalFormatting sqref="B246:B255 F254:N254 C255:N255 O246:P255">
    <cfRule type="expression" dxfId="166" priority="133" stopIfTrue="1">
      <formula>"mod($A1;2)=0"</formula>
    </cfRule>
  </conditionalFormatting>
  <conditionalFormatting sqref="C254:E254">
    <cfRule type="expression" dxfId="165" priority="132" stopIfTrue="1">
      <formula>"mod($A1;2)=0"</formula>
    </cfRule>
  </conditionalFormatting>
  <conditionalFormatting sqref="L246:N253">
    <cfRule type="cellIs" dxfId="164" priority="131" operator="notEqual">
      <formula>0</formula>
    </cfRule>
  </conditionalFormatting>
  <conditionalFormatting sqref="C247:E253">
    <cfRule type="cellIs" dxfId="163" priority="130" operator="notEqual">
      <formula>0</formula>
    </cfRule>
  </conditionalFormatting>
  <conditionalFormatting sqref="L255:N255">
    <cfRule type="cellIs" dxfId="162" priority="129" operator="greaterThan">
      <formula>10</formula>
    </cfRule>
  </conditionalFormatting>
  <conditionalFormatting sqref="E255">
    <cfRule type="cellIs" dxfId="161" priority="128" operator="greaterThan">
      <formula>8</formula>
    </cfRule>
  </conditionalFormatting>
  <conditionalFormatting sqref="B271:B280 F279:N279 C280:N280 O271:P280">
    <cfRule type="expression" dxfId="160" priority="127" stopIfTrue="1">
      <formula>"mod($A1;2)=0"</formula>
    </cfRule>
  </conditionalFormatting>
  <conditionalFormatting sqref="C279:E279">
    <cfRule type="expression" dxfId="159" priority="126" stopIfTrue="1">
      <formula>"mod($A1;2)=0"</formula>
    </cfRule>
  </conditionalFormatting>
  <conditionalFormatting sqref="L271:N278">
    <cfRule type="cellIs" dxfId="158" priority="125" operator="notEqual">
      <formula>0</formula>
    </cfRule>
  </conditionalFormatting>
  <conditionalFormatting sqref="C272:E278">
    <cfRule type="cellIs" dxfId="157" priority="124" operator="notEqual">
      <formula>0</formula>
    </cfRule>
  </conditionalFormatting>
  <conditionalFormatting sqref="L280:N280">
    <cfRule type="cellIs" dxfId="156" priority="123" operator="greaterThan">
      <formula>10</formula>
    </cfRule>
  </conditionalFormatting>
  <conditionalFormatting sqref="E280">
    <cfRule type="cellIs" dxfId="155" priority="122" operator="greaterThan">
      <formula>8</formula>
    </cfRule>
  </conditionalFormatting>
  <conditionalFormatting sqref="B296:B305 F304:N304 C305:N305 O296:P305">
    <cfRule type="expression" dxfId="154" priority="121" stopIfTrue="1">
      <formula>"mod($A1;2)=0"</formula>
    </cfRule>
  </conditionalFormatting>
  <conditionalFormatting sqref="C304:E304">
    <cfRule type="expression" dxfId="153" priority="120" stopIfTrue="1">
      <formula>"mod($A1;2)=0"</formula>
    </cfRule>
  </conditionalFormatting>
  <conditionalFormatting sqref="L296:N303">
    <cfRule type="cellIs" dxfId="152" priority="119" operator="notEqual">
      <formula>0</formula>
    </cfRule>
  </conditionalFormatting>
  <conditionalFormatting sqref="C297:E303">
    <cfRule type="cellIs" dxfId="151" priority="118" operator="notEqual">
      <formula>0</formula>
    </cfRule>
  </conditionalFormatting>
  <conditionalFormatting sqref="L305:N305">
    <cfRule type="cellIs" dxfId="150" priority="117" operator="greaterThan">
      <formula>10</formula>
    </cfRule>
  </conditionalFormatting>
  <conditionalFormatting sqref="E305">
    <cfRule type="cellIs" dxfId="149" priority="116" operator="greaterThan">
      <formula>8</formula>
    </cfRule>
  </conditionalFormatting>
  <conditionalFormatting sqref="B321:B330 F329:N329 C330:N330 O321:P330">
    <cfRule type="expression" dxfId="148" priority="115" stopIfTrue="1">
      <formula>"mod($A1;2)=0"</formula>
    </cfRule>
  </conditionalFormatting>
  <conditionalFormatting sqref="C329:E329">
    <cfRule type="expression" dxfId="147" priority="114" stopIfTrue="1">
      <formula>"mod($A1;2)=0"</formula>
    </cfRule>
  </conditionalFormatting>
  <conditionalFormatting sqref="L321:N328">
    <cfRule type="cellIs" dxfId="146" priority="113" operator="notEqual">
      <formula>0</formula>
    </cfRule>
  </conditionalFormatting>
  <conditionalFormatting sqref="C322:E328">
    <cfRule type="cellIs" dxfId="145" priority="112" operator="notEqual">
      <formula>0</formula>
    </cfRule>
  </conditionalFormatting>
  <conditionalFormatting sqref="L330:N330">
    <cfRule type="cellIs" dxfId="144" priority="111" operator="greaterThan">
      <formula>10</formula>
    </cfRule>
  </conditionalFormatting>
  <conditionalFormatting sqref="E330">
    <cfRule type="cellIs" dxfId="143" priority="110" operator="greaterThan">
      <formula>8</formula>
    </cfRule>
  </conditionalFormatting>
  <conditionalFormatting sqref="B346:B355 F354:N354 C355:N355 O346:P355">
    <cfRule type="expression" dxfId="142" priority="109" stopIfTrue="1">
      <formula>"mod($A1;2)=0"</formula>
    </cfRule>
  </conditionalFormatting>
  <conditionalFormatting sqref="C354:E354">
    <cfRule type="expression" dxfId="141" priority="108" stopIfTrue="1">
      <formula>"mod($A1;2)=0"</formula>
    </cfRule>
  </conditionalFormatting>
  <conditionalFormatting sqref="L346:N353">
    <cfRule type="cellIs" dxfId="140" priority="107" operator="notEqual">
      <formula>0</formula>
    </cfRule>
  </conditionalFormatting>
  <conditionalFormatting sqref="C347:E353">
    <cfRule type="cellIs" dxfId="139" priority="106" operator="notEqual">
      <formula>0</formula>
    </cfRule>
  </conditionalFormatting>
  <conditionalFormatting sqref="L355:N355">
    <cfRule type="cellIs" dxfId="138" priority="105" operator="greaterThan">
      <formula>10</formula>
    </cfRule>
  </conditionalFormatting>
  <conditionalFormatting sqref="E355">
    <cfRule type="cellIs" dxfId="137" priority="104" operator="greaterThan">
      <formula>8</formula>
    </cfRule>
  </conditionalFormatting>
  <conditionalFormatting sqref="B371:B380 F379:N379 C380:N380 O371:P380">
    <cfRule type="expression" dxfId="136" priority="103" stopIfTrue="1">
      <formula>"mod($A1;2)=0"</formula>
    </cfRule>
  </conditionalFormatting>
  <conditionalFormatting sqref="C379:E379">
    <cfRule type="expression" dxfId="135" priority="102" stopIfTrue="1">
      <formula>"mod($A1;2)=0"</formula>
    </cfRule>
  </conditionalFormatting>
  <conditionalFormatting sqref="L371:N378">
    <cfRule type="cellIs" dxfId="134" priority="101" operator="notEqual">
      <formula>0</formula>
    </cfRule>
  </conditionalFormatting>
  <conditionalFormatting sqref="C372:E378">
    <cfRule type="cellIs" dxfId="133" priority="100" operator="notEqual">
      <formula>0</formula>
    </cfRule>
  </conditionalFormatting>
  <conditionalFormatting sqref="L380:N380">
    <cfRule type="cellIs" dxfId="132" priority="99" operator="greaterThan">
      <formula>10</formula>
    </cfRule>
  </conditionalFormatting>
  <conditionalFormatting sqref="E380">
    <cfRule type="cellIs" dxfId="131" priority="98" operator="greaterThan">
      <formula>8</formula>
    </cfRule>
  </conditionalFormatting>
  <conditionalFormatting sqref="B396:B405 F404:N404 C405:N405 F396:K403 O396:P405">
    <cfRule type="expression" dxfId="130" priority="97" stopIfTrue="1">
      <formula>"mod($A1;2)=0"</formula>
    </cfRule>
  </conditionalFormatting>
  <conditionalFormatting sqref="C404:E404">
    <cfRule type="expression" dxfId="129" priority="96" stopIfTrue="1">
      <formula>"mod($A1;2)=0"</formula>
    </cfRule>
  </conditionalFormatting>
  <conditionalFormatting sqref="L396:N403">
    <cfRule type="cellIs" dxfId="128" priority="95" operator="notEqual">
      <formula>0</formula>
    </cfRule>
  </conditionalFormatting>
  <conditionalFormatting sqref="C397:E403">
    <cfRule type="cellIs" dxfId="127" priority="94" operator="notEqual">
      <formula>0</formula>
    </cfRule>
  </conditionalFormatting>
  <conditionalFormatting sqref="L405:N405">
    <cfRule type="cellIs" dxfId="126" priority="93" operator="greaterThan">
      <formula>10</formula>
    </cfRule>
  </conditionalFormatting>
  <conditionalFormatting sqref="E405">
    <cfRule type="cellIs" dxfId="125" priority="92" operator="greaterThan">
      <formula>8</formula>
    </cfRule>
  </conditionalFormatting>
  <conditionalFormatting sqref="B421:B430 F429:N429 C430:N430 F421:K428 O421:P430">
    <cfRule type="expression" dxfId="124" priority="91" stopIfTrue="1">
      <formula>"mod($A1;2)=0"</formula>
    </cfRule>
  </conditionalFormatting>
  <conditionalFormatting sqref="C429:E429">
    <cfRule type="expression" dxfId="123" priority="90" stopIfTrue="1">
      <formula>"mod($A1;2)=0"</formula>
    </cfRule>
  </conditionalFormatting>
  <conditionalFormatting sqref="L421:N428">
    <cfRule type="cellIs" dxfId="122" priority="89" operator="notEqual">
      <formula>0</formula>
    </cfRule>
  </conditionalFormatting>
  <conditionalFormatting sqref="C422:E428">
    <cfRule type="cellIs" dxfId="121" priority="88" operator="notEqual">
      <formula>0</formula>
    </cfRule>
  </conditionalFormatting>
  <conditionalFormatting sqref="L430:N430">
    <cfRule type="cellIs" dxfId="120" priority="87" operator="greaterThan">
      <formula>10</formula>
    </cfRule>
  </conditionalFormatting>
  <conditionalFormatting sqref="E430">
    <cfRule type="cellIs" dxfId="119" priority="86" operator="greaterThan">
      <formula>8</formula>
    </cfRule>
  </conditionalFormatting>
  <conditionalFormatting sqref="B446:B455 F454:N454 C455:N455 F446:K453 O446:P455">
    <cfRule type="expression" dxfId="118" priority="85" stopIfTrue="1">
      <formula>"mod($A1;2)=0"</formula>
    </cfRule>
  </conditionalFormatting>
  <conditionalFormatting sqref="C454:E454">
    <cfRule type="expression" dxfId="117" priority="84" stopIfTrue="1">
      <formula>"mod($A1;2)=0"</formula>
    </cfRule>
  </conditionalFormatting>
  <conditionalFormatting sqref="L446:N453">
    <cfRule type="cellIs" dxfId="116" priority="83" operator="notEqual">
      <formula>0</formula>
    </cfRule>
  </conditionalFormatting>
  <conditionalFormatting sqref="C447:E453">
    <cfRule type="cellIs" dxfId="115" priority="82" operator="notEqual">
      <formula>0</formula>
    </cfRule>
  </conditionalFormatting>
  <conditionalFormatting sqref="L455:N455">
    <cfRule type="cellIs" dxfId="114" priority="81" operator="greaterThan">
      <formula>10</formula>
    </cfRule>
  </conditionalFormatting>
  <conditionalFormatting sqref="E455">
    <cfRule type="cellIs" dxfId="113" priority="80" operator="greaterThan">
      <formula>8</formula>
    </cfRule>
  </conditionalFormatting>
  <conditionalFormatting sqref="B471:B480 F479:N479 C480:N480 F471:K478 O471:P480">
    <cfRule type="expression" dxfId="112" priority="79" stopIfTrue="1">
      <formula>"mod($A1;2)=0"</formula>
    </cfRule>
  </conditionalFormatting>
  <conditionalFormatting sqref="C479:E479">
    <cfRule type="expression" dxfId="111" priority="78" stopIfTrue="1">
      <formula>"mod($A1;2)=0"</formula>
    </cfRule>
  </conditionalFormatting>
  <conditionalFormatting sqref="L471:N478">
    <cfRule type="cellIs" dxfId="110" priority="77" operator="notEqual">
      <formula>0</formula>
    </cfRule>
  </conditionalFormatting>
  <conditionalFormatting sqref="C472:E478">
    <cfRule type="cellIs" dxfId="109" priority="76" operator="notEqual">
      <formula>0</formula>
    </cfRule>
  </conditionalFormatting>
  <conditionalFormatting sqref="L480:N480">
    <cfRule type="cellIs" dxfId="108" priority="75" operator="greaterThan">
      <formula>10</formula>
    </cfRule>
  </conditionalFormatting>
  <conditionalFormatting sqref="E480">
    <cfRule type="cellIs" dxfId="107" priority="74" operator="greaterThan">
      <formula>8</formula>
    </cfRule>
  </conditionalFormatting>
  <conditionalFormatting sqref="B496:B505 F504:N504 C505:N505 F496:K503 O496:P505">
    <cfRule type="expression" dxfId="106" priority="73" stopIfTrue="1">
      <formula>"mod($A1;2)=0"</formula>
    </cfRule>
  </conditionalFormatting>
  <conditionalFormatting sqref="C504:E504">
    <cfRule type="expression" dxfId="105" priority="72" stopIfTrue="1">
      <formula>"mod($A1;2)=0"</formula>
    </cfRule>
  </conditionalFormatting>
  <conditionalFormatting sqref="L496:N503">
    <cfRule type="cellIs" dxfId="104" priority="71" operator="notEqual">
      <formula>0</formula>
    </cfRule>
  </conditionalFormatting>
  <conditionalFormatting sqref="C497:E503">
    <cfRule type="cellIs" dxfId="103" priority="70" operator="notEqual">
      <formula>0</formula>
    </cfRule>
  </conditionalFormatting>
  <conditionalFormatting sqref="L505:N505">
    <cfRule type="cellIs" dxfId="102" priority="69" operator="greaterThan">
      <formula>10</formula>
    </cfRule>
  </conditionalFormatting>
  <conditionalFormatting sqref="E505">
    <cfRule type="cellIs" dxfId="101" priority="68" operator="greaterThan">
      <formula>8</formula>
    </cfRule>
  </conditionalFormatting>
  <conditionalFormatting sqref="B521:B530 F529:N529 C530:N530 F521:K528 O521:P530">
    <cfRule type="expression" dxfId="100" priority="67" stopIfTrue="1">
      <formula>"mod($A1;2)=0"</formula>
    </cfRule>
  </conditionalFormatting>
  <conditionalFormatting sqref="C529:E529">
    <cfRule type="expression" dxfId="99" priority="66" stopIfTrue="1">
      <formula>"mod($A1;2)=0"</formula>
    </cfRule>
  </conditionalFormatting>
  <conditionalFormatting sqref="L521:N528">
    <cfRule type="cellIs" dxfId="98" priority="65" operator="notEqual">
      <formula>0</formula>
    </cfRule>
  </conditionalFormatting>
  <conditionalFormatting sqref="C522:E528">
    <cfRule type="cellIs" dxfId="97" priority="64" operator="notEqual">
      <formula>0</formula>
    </cfRule>
  </conditionalFormatting>
  <conditionalFormatting sqref="L530:N530">
    <cfRule type="cellIs" dxfId="96" priority="63" operator="greaterThan">
      <formula>10</formula>
    </cfRule>
  </conditionalFormatting>
  <conditionalFormatting sqref="E530">
    <cfRule type="cellIs" dxfId="95" priority="62" operator="greaterThan">
      <formula>8</formula>
    </cfRule>
  </conditionalFormatting>
  <conditionalFormatting sqref="B546:B555 F554:N554 C555:N555 F546:K553 O546:P555">
    <cfRule type="expression" dxfId="94" priority="61" stopIfTrue="1">
      <formula>"mod($A1;2)=0"</formula>
    </cfRule>
  </conditionalFormatting>
  <conditionalFormatting sqref="C554:E554">
    <cfRule type="expression" dxfId="93" priority="60" stopIfTrue="1">
      <formula>"mod($A1;2)=0"</formula>
    </cfRule>
  </conditionalFormatting>
  <conditionalFormatting sqref="L546:N553">
    <cfRule type="cellIs" dxfId="92" priority="59" operator="notEqual">
      <formula>0</formula>
    </cfRule>
  </conditionalFormatting>
  <conditionalFormatting sqref="C547:E553">
    <cfRule type="cellIs" dxfId="91" priority="58" operator="notEqual">
      <formula>0</formula>
    </cfRule>
  </conditionalFormatting>
  <conditionalFormatting sqref="L555:N555">
    <cfRule type="cellIs" dxfId="90" priority="57" operator="greaterThan">
      <formula>10</formula>
    </cfRule>
  </conditionalFormatting>
  <conditionalFormatting sqref="E555">
    <cfRule type="cellIs" dxfId="89" priority="56" operator="greaterThan">
      <formula>8</formula>
    </cfRule>
  </conditionalFormatting>
  <conditionalFormatting sqref="B571:B580 F579:N579 C580:N580 F571:K578 O571:P580">
    <cfRule type="expression" dxfId="88" priority="55" stopIfTrue="1">
      <formula>"mod($A1;2)=0"</formula>
    </cfRule>
  </conditionalFormatting>
  <conditionalFormatting sqref="C579:E579">
    <cfRule type="expression" dxfId="87" priority="54" stopIfTrue="1">
      <formula>"mod($A1;2)=0"</formula>
    </cfRule>
  </conditionalFormatting>
  <conditionalFormatting sqref="L571:N578">
    <cfRule type="cellIs" dxfId="86" priority="53" operator="notEqual">
      <formula>0</formula>
    </cfRule>
  </conditionalFormatting>
  <conditionalFormatting sqref="C572:E578">
    <cfRule type="cellIs" dxfId="85" priority="52" operator="notEqual">
      <formula>0</formula>
    </cfRule>
  </conditionalFormatting>
  <conditionalFormatting sqref="L580:N580">
    <cfRule type="cellIs" dxfId="84" priority="51" operator="greaterThan">
      <formula>10</formula>
    </cfRule>
  </conditionalFormatting>
  <conditionalFormatting sqref="E580">
    <cfRule type="cellIs" dxfId="83" priority="50" operator="greaterThan">
      <formula>8</formula>
    </cfRule>
  </conditionalFormatting>
  <conditionalFormatting sqref="B596:B605 F604:N604 C605:N605 F596:K603 O596:P605">
    <cfRule type="expression" dxfId="82" priority="49" stopIfTrue="1">
      <formula>"mod($A1;2)=0"</formula>
    </cfRule>
  </conditionalFormatting>
  <conditionalFormatting sqref="C604:E604">
    <cfRule type="expression" dxfId="81" priority="48" stopIfTrue="1">
      <formula>"mod($A1;2)=0"</formula>
    </cfRule>
  </conditionalFormatting>
  <conditionalFormatting sqref="L596:N603">
    <cfRule type="cellIs" dxfId="80" priority="47" operator="notEqual">
      <formula>0</formula>
    </cfRule>
  </conditionalFormatting>
  <conditionalFormatting sqref="C597:E603">
    <cfRule type="cellIs" dxfId="79" priority="46" operator="notEqual">
      <formula>0</formula>
    </cfRule>
  </conditionalFormatting>
  <conditionalFormatting sqref="L605:N605">
    <cfRule type="cellIs" dxfId="78" priority="45" operator="greaterThan">
      <formula>10</formula>
    </cfRule>
  </conditionalFormatting>
  <conditionalFormatting sqref="E605">
    <cfRule type="cellIs" dxfId="77" priority="44" operator="greaterThan">
      <formula>8</formula>
    </cfRule>
  </conditionalFormatting>
  <conditionalFormatting sqref="C629:E629">
    <cfRule type="expression" dxfId="76" priority="43" stopIfTrue="1">
      <formula>"mod($A1;2)=0"</formula>
    </cfRule>
  </conditionalFormatting>
  <conditionalFormatting sqref="L621:N628">
    <cfRule type="cellIs" dxfId="75" priority="42" operator="notEqual">
      <formula>0</formula>
    </cfRule>
  </conditionalFormatting>
  <conditionalFormatting sqref="C622:E628">
    <cfRule type="cellIs" dxfId="74" priority="41" operator="notEqual">
      <formula>0</formula>
    </cfRule>
  </conditionalFormatting>
  <conditionalFormatting sqref="L630:N630">
    <cfRule type="cellIs" dxfId="73" priority="40" operator="greaterThan">
      <formula>10</formula>
    </cfRule>
  </conditionalFormatting>
  <conditionalFormatting sqref="E630">
    <cfRule type="cellIs" dxfId="72" priority="39" operator="greaterThan">
      <formula>8</formula>
    </cfRule>
  </conditionalFormatting>
  <conditionalFormatting sqref="C654:E654">
    <cfRule type="expression" dxfId="71" priority="38" stopIfTrue="1">
      <formula>"mod($A1;2)=0"</formula>
    </cfRule>
  </conditionalFormatting>
  <conditionalFormatting sqref="L646:N653">
    <cfRule type="cellIs" dxfId="70" priority="37" operator="notEqual">
      <formula>0</formula>
    </cfRule>
  </conditionalFormatting>
  <conditionalFormatting sqref="C647:E653">
    <cfRule type="cellIs" dxfId="69" priority="36" operator="notEqual">
      <formula>0</formula>
    </cfRule>
  </conditionalFormatting>
  <conditionalFormatting sqref="L655:N655">
    <cfRule type="cellIs" dxfId="68" priority="35" operator="greaterThan">
      <formula>10</formula>
    </cfRule>
  </conditionalFormatting>
  <conditionalFormatting sqref="E655">
    <cfRule type="cellIs" dxfId="67" priority="34" operator="greaterThan">
      <formula>8</formula>
    </cfRule>
  </conditionalFormatting>
  <conditionalFormatting sqref="F58:K70">
    <cfRule type="expression" dxfId="66" priority="33" stopIfTrue="1">
      <formula>"mod($A1;2)=0"</formula>
    </cfRule>
  </conditionalFormatting>
  <conditionalFormatting sqref="F83:K95">
    <cfRule type="expression" dxfId="65" priority="32" stopIfTrue="1">
      <formula>"mod($A1;2)=0"</formula>
    </cfRule>
  </conditionalFormatting>
  <conditionalFormatting sqref="F108:K120">
    <cfRule type="expression" dxfId="64" priority="31" stopIfTrue="1">
      <formula>"mod($A1;2)=0"</formula>
    </cfRule>
  </conditionalFormatting>
  <conditionalFormatting sqref="F133:K145">
    <cfRule type="expression" dxfId="63" priority="30" stopIfTrue="1">
      <formula>"mod($A1;2)=0"</formula>
    </cfRule>
  </conditionalFormatting>
  <conditionalFormatting sqref="F158:K170">
    <cfRule type="expression" dxfId="62" priority="29" stopIfTrue="1">
      <formula>"mod($A1;2)=0"</formula>
    </cfRule>
  </conditionalFormatting>
  <conditionalFormatting sqref="F183:K195">
    <cfRule type="expression" dxfId="61" priority="28" stopIfTrue="1">
      <formula>"mod($A1;2)=0"</formula>
    </cfRule>
  </conditionalFormatting>
  <conditionalFormatting sqref="F208:K220">
    <cfRule type="expression" dxfId="60" priority="27" stopIfTrue="1">
      <formula>"mod($A1;2)=0"</formula>
    </cfRule>
  </conditionalFormatting>
  <conditionalFormatting sqref="F247:K253 F246:J246">
    <cfRule type="expression" dxfId="59" priority="26" stopIfTrue="1">
      <formula>"mod($A1;2)=0"</formula>
    </cfRule>
  </conditionalFormatting>
  <conditionalFormatting sqref="F233:K245">
    <cfRule type="expression" dxfId="58" priority="25" stopIfTrue="1">
      <formula>"mod($A1;2)=0"</formula>
    </cfRule>
  </conditionalFormatting>
  <conditionalFormatting sqref="F272:K278 F271:J271">
    <cfRule type="expression" dxfId="57" priority="24" stopIfTrue="1">
      <formula>"mod($A1;2)=0"</formula>
    </cfRule>
  </conditionalFormatting>
  <conditionalFormatting sqref="F258:K270">
    <cfRule type="expression" dxfId="56" priority="23" stopIfTrue="1">
      <formula>"mod($A1;2)=0"</formula>
    </cfRule>
  </conditionalFormatting>
  <conditionalFormatting sqref="F297:K303 F296:J296">
    <cfRule type="expression" dxfId="55" priority="22" stopIfTrue="1">
      <formula>"mod($A1;2)=0"</formula>
    </cfRule>
  </conditionalFormatting>
  <conditionalFormatting sqref="F283:K295">
    <cfRule type="expression" dxfId="54" priority="21" stopIfTrue="1">
      <formula>"mod($A1;2)=0"</formula>
    </cfRule>
  </conditionalFormatting>
  <conditionalFormatting sqref="F322:K328 F321:J321">
    <cfRule type="expression" dxfId="53" priority="20" stopIfTrue="1">
      <formula>"mod($A1;2)=0"</formula>
    </cfRule>
  </conditionalFormatting>
  <conditionalFormatting sqref="F308:K320">
    <cfRule type="expression" dxfId="52" priority="19" stopIfTrue="1">
      <formula>"mod($A1;2)=0"</formula>
    </cfRule>
  </conditionalFormatting>
  <conditionalFormatting sqref="F347:K353 F346:J346">
    <cfRule type="expression" dxfId="51" priority="18" stopIfTrue="1">
      <formula>"mod($A1;2)=0"</formula>
    </cfRule>
  </conditionalFormatting>
  <conditionalFormatting sqref="F333:K345">
    <cfRule type="expression" dxfId="50" priority="17" stopIfTrue="1">
      <formula>"mod($A1;2)=0"</formula>
    </cfRule>
  </conditionalFormatting>
  <conditionalFormatting sqref="F372:K378 F371:J371">
    <cfRule type="expression" dxfId="49" priority="16" stopIfTrue="1">
      <formula>"mod($A1;2)=0"</formula>
    </cfRule>
  </conditionalFormatting>
  <conditionalFormatting sqref="F358:K370">
    <cfRule type="expression" dxfId="48" priority="15" stopIfTrue="1">
      <formula>"mod($A1;2)=0"</formula>
    </cfRule>
  </conditionalFormatting>
  <conditionalFormatting sqref="K121">
    <cfRule type="expression" dxfId="47" priority="14" stopIfTrue="1">
      <formula>"mod($A1;2)=0"</formula>
    </cfRule>
  </conditionalFormatting>
  <conditionalFormatting sqref="K96">
    <cfRule type="expression" dxfId="46" priority="13" stopIfTrue="1">
      <formula>"mod($A1;2)=0"</formula>
    </cfRule>
  </conditionalFormatting>
  <conditionalFormatting sqref="K71">
    <cfRule type="expression" dxfId="45" priority="12" stopIfTrue="1">
      <formula>"mod($A1;2)=0"</formula>
    </cfRule>
  </conditionalFormatting>
  <conditionalFormatting sqref="K46">
    <cfRule type="expression" dxfId="44" priority="11" stopIfTrue="1">
      <formula>"mod($A1;2)=0"</formula>
    </cfRule>
  </conditionalFormatting>
  <conditionalFormatting sqref="K146">
    <cfRule type="expression" dxfId="43" priority="10" stopIfTrue="1">
      <formula>"mod($A1;2)=0"</formula>
    </cfRule>
  </conditionalFormatting>
  <conditionalFormatting sqref="K171">
    <cfRule type="expression" dxfId="42" priority="9" stopIfTrue="1">
      <formula>"mod($A1;2)=0"</formula>
    </cfRule>
  </conditionalFormatting>
  <conditionalFormatting sqref="K196">
    <cfRule type="expression" dxfId="41" priority="8" stopIfTrue="1">
      <formula>"mod($A1;2)=0"</formula>
    </cfRule>
  </conditionalFormatting>
  <conditionalFormatting sqref="K221">
    <cfRule type="expression" dxfId="40" priority="7" stopIfTrue="1">
      <formula>"mod($A1;2)=0"</formula>
    </cfRule>
  </conditionalFormatting>
  <conditionalFormatting sqref="K246">
    <cfRule type="expression" dxfId="39" priority="6" stopIfTrue="1">
      <formula>"mod($A1;2)=0"</formula>
    </cfRule>
  </conditionalFormatting>
  <conditionalFormatting sqref="K271">
    <cfRule type="expression" dxfId="38" priority="5" stopIfTrue="1">
      <formula>"mod($A1;2)=0"</formula>
    </cfRule>
  </conditionalFormatting>
  <conditionalFormatting sqref="K296">
    <cfRule type="expression" dxfId="37" priority="4" stopIfTrue="1">
      <formula>"mod($A1;2)=0"</formula>
    </cfRule>
  </conditionalFormatting>
  <conditionalFormatting sqref="K321">
    <cfRule type="expression" dxfId="36" priority="3" stopIfTrue="1">
      <formula>"mod($A1;2)=0"</formula>
    </cfRule>
  </conditionalFormatting>
  <conditionalFormatting sqref="K346">
    <cfRule type="expression" dxfId="35" priority="2" stopIfTrue="1">
      <formula>"mod($A1;2)=0"</formula>
    </cfRule>
  </conditionalFormatting>
  <conditionalFormatting sqref="K371">
    <cfRule type="expression" dxfId="34" priority="1" stopIfTrue="1">
      <formula>"mod($A1;2)=0"</formula>
    </cfRule>
  </conditionalFormatting>
  <pageMargins left="0.59055118110236227" right="0.59055118110236227" top="0.39370078740157483" bottom="0.19685039370078741" header="0.51181102362204722" footer="0.51181102362204722"/>
  <pageSetup paperSize="9" scale="80" fitToHeight="0" orientation="portrait" r:id="rId1"/>
  <headerFooter alignWithMargins="0"/>
  <rowBreaks count="9" manualBreakCount="9">
    <brk id="80" max="15" man="1"/>
    <brk id="155" max="15" man="1"/>
    <brk id="230" max="15" man="1"/>
    <brk id="305" max="15" man="1"/>
    <brk id="380" max="15" man="1"/>
    <brk id="455" max="15" man="1"/>
    <brk id="530" max="15" man="1"/>
    <brk id="605" max="15" man="1"/>
    <brk id="65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J211"/>
  <sheetViews>
    <sheetView view="pageBreakPreview" zoomScale="90" zoomScaleNormal="85" zoomScaleSheetLayoutView="90" workbookViewId="0"/>
  </sheetViews>
  <sheetFormatPr defaultRowHeight="15" x14ac:dyDescent="0.25"/>
  <cols>
    <col min="1" max="1" width="4.7109375" style="189" bestFit="1" customWidth="1"/>
    <col min="2" max="2" width="12.5703125" style="29" customWidth="1"/>
    <col min="3" max="3" width="6.28515625" style="29" bestFit="1" customWidth="1"/>
    <col min="4" max="4" width="19" style="29" bestFit="1" customWidth="1"/>
    <col min="5" max="5" width="35.85546875" style="29" customWidth="1"/>
    <col min="6" max="6" width="15.28515625" style="60" bestFit="1" customWidth="1"/>
    <col min="7" max="7" width="1.85546875" style="28" customWidth="1"/>
    <col min="8" max="8" width="15" style="29" bestFit="1" customWidth="1"/>
    <col min="9" max="9" width="3.7109375" style="28" customWidth="1"/>
    <col min="10" max="10" width="16.42578125" style="196" customWidth="1"/>
    <col min="11" max="16384" width="9.140625" style="60"/>
  </cols>
  <sheetData>
    <row r="1" spans="1:8" x14ac:dyDescent="0.25">
      <c r="B1" s="560" t="s">
        <v>1182</v>
      </c>
    </row>
    <row r="3" spans="1:8" s="28" customFormat="1" x14ac:dyDescent="0.25">
      <c r="A3" s="189"/>
      <c r="B3" s="29"/>
      <c r="C3" s="29"/>
      <c r="D3" s="29"/>
      <c r="E3" s="29"/>
      <c r="H3" s="29"/>
    </row>
    <row r="4" spans="1:8" s="28" customFormat="1" ht="15.75" x14ac:dyDescent="0.25">
      <c r="A4" s="1148" t="s">
        <v>1405</v>
      </c>
      <c r="B4" s="1148"/>
      <c r="C4" s="1148"/>
      <c r="D4" s="1148"/>
      <c r="E4" s="1148"/>
      <c r="F4" s="1148"/>
      <c r="G4" s="1148"/>
      <c r="H4" s="1148"/>
    </row>
    <row r="5" spans="1:8" s="28" customFormat="1" x14ac:dyDescent="0.25">
      <c r="A5" s="189"/>
      <c r="B5" s="29"/>
      <c r="C5" s="29"/>
      <c r="D5" s="29"/>
      <c r="E5" s="29"/>
      <c r="H5" s="29"/>
    </row>
    <row r="6" spans="1:8" s="28" customFormat="1" x14ac:dyDescent="0.25">
      <c r="A6" s="230" t="s">
        <v>915</v>
      </c>
      <c r="B6" s="29"/>
      <c r="C6" s="29"/>
      <c r="D6" s="29"/>
      <c r="E6" s="29"/>
      <c r="H6" s="29"/>
    </row>
    <row r="7" spans="1:8" s="28" customFormat="1" x14ac:dyDescent="0.25">
      <c r="B7" s="189"/>
      <c r="C7" s="29"/>
      <c r="D7" s="29"/>
      <c r="E7" s="189"/>
      <c r="G7" s="29"/>
      <c r="H7" s="29"/>
    </row>
    <row r="8" spans="1:8" s="28" customFormat="1" x14ac:dyDescent="0.25">
      <c r="B8" s="201" t="s">
        <v>896</v>
      </c>
      <c r="C8" s="29"/>
      <c r="D8" s="29"/>
      <c r="E8" s="189"/>
      <c r="G8" s="29"/>
      <c r="H8" s="29"/>
    </row>
    <row r="9" spans="1:8" s="28" customFormat="1" x14ac:dyDescent="0.25">
      <c r="B9" s="201"/>
      <c r="C9" s="29"/>
      <c r="D9" s="29"/>
      <c r="E9" s="189"/>
      <c r="G9" s="29"/>
      <c r="H9" s="29"/>
    </row>
    <row r="10" spans="1:8" s="28" customFormat="1" x14ac:dyDescent="0.25">
      <c r="B10" s="192" t="s">
        <v>897</v>
      </c>
      <c r="C10" s="202" t="s">
        <v>975</v>
      </c>
      <c r="D10" s="202"/>
      <c r="E10" s="189"/>
      <c r="F10" s="121">
        <f>'ANTP_1.4 Indicadores'!E7</f>
        <v>4</v>
      </c>
      <c r="G10" s="29" t="s">
        <v>20</v>
      </c>
      <c r="H10" s="29"/>
    </row>
    <row r="11" spans="1:8" s="28" customFormat="1" x14ac:dyDescent="0.25">
      <c r="B11" s="192" t="s">
        <v>898</v>
      </c>
      <c r="C11" s="202" t="s">
        <v>976</v>
      </c>
      <c r="D11" s="202"/>
      <c r="E11" s="189"/>
      <c r="F11" s="2">
        <f>'ANTP_1.4 Indicadores'!E8</f>
        <v>79548</v>
      </c>
      <c r="G11" s="29" t="s">
        <v>152</v>
      </c>
      <c r="H11" s="29"/>
    </row>
    <row r="12" spans="1:8" s="28" customFormat="1" x14ac:dyDescent="0.25">
      <c r="B12" s="192" t="s">
        <v>899</v>
      </c>
      <c r="C12" s="29" t="s">
        <v>977</v>
      </c>
      <c r="D12" s="29"/>
      <c r="E12" s="189"/>
      <c r="F12" s="15">
        <f>'ANTP_1.4 Indicadores'!E9</f>
        <v>19887</v>
      </c>
      <c r="G12" s="29" t="s">
        <v>722</v>
      </c>
      <c r="H12" s="29"/>
    </row>
    <row r="13" spans="1:8" s="28" customFormat="1" x14ac:dyDescent="0.25">
      <c r="B13" s="192" t="s">
        <v>900</v>
      </c>
      <c r="C13" s="29" t="s">
        <v>978</v>
      </c>
      <c r="D13" s="29"/>
      <c r="E13" s="189"/>
      <c r="F13" s="15">
        <f>'ANTP_1.4 Indicadores'!E10</f>
        <v>19887</v>
      </c>
      <c r="G13" s="29" t="s">
        <v>722</v>
      </c>
      <c r="H13" s="29"/>
    </row>
    <row r="14" spans="1:8" s="28" customFormat="1" x14ac:dyDescent="0.25">
      <c r="B14" s="192" t="s">
        <v>901</v>
      </c>
      <c r="C14" s="29" t="s">
        <v>979</v>
      </c>
      <c r="D14" s="29"/>
      <c r="E14" s="189"/>
      <c r="F14" s="15">
        <f>'ANTP_1.4 Indicadores'!E11</f>
        <v>51522</v>
      </c>
      <c r="G14" s="29" t="s">
        <v>721</v>
      </c>
      <c r="H14" s="29"/>
    </row>
    <row r="15" spans="1:8" s="28" customFormat="1" x14ac:dyDescent="0.25">
      <c r="B15" s="189"/>
      <c r="C15" s="29"/>
      <c r="D15" s="29"/>
      <c r="E15" s="189"/>
      <c r="F15" s="60"/>
      <c r="G15" s="29"/>
      <c r="H15" s="29"/>
    </row>
    <row r="16" spans="1:8" s="28" customFormat="1" x14ac:dyDescent="0.25">
      <c r="B16" s="192" t="s">
        <v>902</v>
      </c>
      <c r="C16" s="29" t="s">
        <v>1004</v>
      </c>
      <c r="D16" s="29"/>
      <c r="E16" s="189"/>
      <c r="F16" s="2">
        <f>'ANTP_1.4 Indicadores'!E13</f>
        <v>0.38599045068126236</v>
      </c>
      <c r="G16" s="29" t="s">
        <v>41</v>
      </c>
      <c r="H16" s="29"/>
    </row>
    <row r="17" spans="2:8" s="28" customFormat="1" x14ac:dyDescent="0.25">
      <c r="B17" s="192" t="s">
        <v>903</v>
      </c>
      <c r="C17" s="29" t="s">
        <v>980</v>
      </c>
      <c r="D17" s="29"/>
      <c r="E17" s="189"/>
      <c r="F17" s="2">
        <f>'ANTP_1.4 Indicadores'!E14</f>
        <v>0.38599045068126236</v>
      </c>
      <c r="G17" s="29" t="s">
        <v>41</v>
      </c>
      <c r="H17" s="29"/>
    </row>
    <row r="18" spans="2:8" s="28" customFormat="1" x14ac:dyDescent="0.25">
      <c r="B18" s="189"/>
      <c r="C18" s="29"/>
      <c r="D18" s="29"/>
      <c r="E18" s="189"/>
      <c r="G18" s="29"/>
      <c r="H18" s="29"/>
    </row>
    <row r="19" spans="2:8" s="28" customFormat="1" x14ac:dyDescent="0.25">
      <c r="B19" s="201" t="s">
        <v>904</v>
      </c>
      <c r="C19" s="29"/>
      <c r="D19" s="29"/>
      <c r="E19" s="189"/>
      <c r="G19" s="29"/>
      <c r="H19" s="29"/>
    </row>
    <row r="20" spans="2:8" s="28" customFormat="1" x14ac:dyDescent="0.25">
      <c r="B20" s="189"/>
      <c r="C20" s="29"/>
      <c r="D20" s="29"/>
      <c r="E20" s="189"/>
      <c r="G20" s="29"/>
      <c r="H20" s="29"/>
    </row>
    <row r="21" spans="2:8" s="28" customFormat="1" x14ac:dyDescent="0.25">
      <c r="B21" s="192" t="s">
        <v>905</v>
      </c>
      <c r="C21" s="194" t="s">
        <v>981</v>
      </c>
      <c r="D21" s="230"/>
      <c r="E21" s="189"/>
      <c r="F21" s="15">
        <f>'ANTP_1.4 Indicadores'!E18</f>
        <v>11</v>
      </c>
      <c r="G21" s="29" t="s">
        <v>42</v>
      </c>
      <c r="H21" s="29"/>
    </row>
    <row r="22" spans="2:8" s="28" customFormat="1" x14ac:dyDescent="0.25">
      <c r="B22" s="192" t="s">
        <v>906</v>
      </c>
      <c r="C22" s="194" t="s">
        <v>982</v>
      </c>
      <c r="D22" s="230"/>
      <c r="E22" s="230"/>
      <c r="F22" s="15">
        <f>'ANTP_1.4 Indicadores'!E19</f>
        <v>9</v>
      </c>
      <c r="G22" s="29" t="s">
        <v>42</v>
      </c>
      <c r="H22" s="29"/>
    </row>
    <row r="23" spans="2:8" s="28" customFormat="1" x14ac:dyDescent="0.25">
      <c r="B23" s="192" t="s">
        <v>907</v>
      </c>
      <c r="C23" s="194" t="s">
        <v>983</v>
      </c>
      <c r="D23" s="230"/>
      <c r="E23" s="230"/>
      <c r="F23" s="15">
        <f>'ANTP_1.4 Indicadores'!E20</f>
        <v>2</v>
      </c>
      <c r="G23" s="29" t="s">
        <v>42</v>
      </c>
      <c r="H23" s="29"/>
    </row>
    <row r="24" spans="2:8" s="28" customFormat="1" x14ac:dyDescent="0.25">
      <c r="B24" s="189"/>
      <c r="C24" s="29"/>
      <c r="D24" s="29"/>
      <c r="E24" s="189"/>
      <c r="F24" s="60"/>
      <c r="G24" s="29"/>
      <c r="H24" s="29"/>
    </row>
    <row r="25" spans="2:8" s="28" customFormat="1" x14ac:dyDescent="0.25">
      <c r="B25" s="192" t="s">
        <v>908</v>
      </c>
      <c r="C25" s="194" t="s">
        <v>984</v>
      </c>
      <c r="D25" s="29"/>
      <c r="E25" s="189"/>
      <c r="F25" s="15">
        <f>'ANTP_1.4 Indicadores'!E22</f>
        <v>5724.666666666667</v>
      </c>
      <c r="G25" s="29" t="s">
        <v>513</v>
      </c>
      <c r="H25" s="29"/>
    </row>
    <row r="26" spans="2:8" s="28" customFormat="1" x14ac:dyDescent="0.25">
      <c r="B26" s="189"/>
      <c r="C26" s="29"/>
      <c r="D26" s="29"/>
      <c r="E26" s="189"/>
      <c r="G26" s="29"/>
      <c r="H26" s="29"/>
    </row>
    <row r="27" spans="2:8" s="28" customFormat="1" x14ac:dyDescent="0.25">
      <c r="B27" s="201" t="s">
        <v>909</v>
      </c>
      <c r="C27" s="29"/>
      <c r="D27" s="29"/>
      <c r="E27" s="189"/>
      <c r="G27" s="29"/>
      <c r="H27" s="29"/>
    </row>
    <row r="28" spans="2:8" s="28" customFormat="1" x14ac:dyDescent="0.25">
      <c r="B28" s="189"/>
      <c r="C28" s="29"/>
      <c r="D28" s="29"/>
      <c r="E28" s="189"/>
      <c r="G28" s="29"/>
      <c r="H28" s="29"/>
    </row>
    <row r="29" spans="2:8" s="28" customFormat="1" x14ac:dyDescent="0.25">
      <c r="B29" s="192" t="s">
        <v>910</v>
      </c>
      <c r="C29" s="28" t="s">
        <v>986</v>
      </c>
      <c r="D29" s="29"/>
      <c r="E29" s="189"/>
      <c r="F29" s="121">
        <f>'ANTP_1.4 Indicadores'!E26</f>
        <v>1</v>
      </c>
      <c r="G29" s="29" t="s">
        <v>517</v>
      </c>
      <c r="H29" s="29"/>
    </row>
    <row r="30" spans="2:8" s="28" customFormat="1" x14ac:dyDescent="0.25">
      <c r="B30" s="192" t="s">
        <v>911</v>
      </c>
      <c r="C30" s="29" t="s">
        <v>985</v>
      </c>
      <c r="D30" s="29"/>
      <c r="E30" s="189"/>
      <c r="F30" s="15">
        <f>'ANTP_1.4 Indicadores'!E27</f>
        <v>2209.6666666666665</v>
      </c>
      <c r="G30" s="29" t="s">
        <v>518</v>
      </c>
      <c r="H30" s="29"/>
    </row>
    <row r="31" spans="2:8" s="28" customFormat="1" x14ac:dyDescent="0.25">
      <c r="B31" s="189"/>
      <c r="C31" s="29"/>
      <c r="D31" s="29"/>
      <c r="E31" s="189"/>
      <c r="G31" s="29"/>
      <c r="H31" s="29"/>
    </row>
    <row r="32" spans="2:8" s="28" customFormat="1" x14ac:dyDescent="0.25">
      <c r="B32" s="201" t="s">
        <v>913</v>
      </c>
      <c r="C32" s="29"/>
      <c r="D32" s="29"/>
      <c r="E32" s="189"/>
      <c r="G32" s="29"/>
      <c r="H32" s="29"/>
    </row>
    <row r="33" spans="1:10" s="28" customFormat="1" x14ac:dyDescent="0.25">
      <c r="B33" s="189"/>
      <c r="C33" s="29"/>
      <c r="D33" s="29"/>
      <c r="E33" s="189"/>
      <c r="G33" s="29"/>
      <c r="H33" s="29"/>
    </row>
    <row r="34" spans="1:10" s="28" customFormat="1" x14ac:dyDescent="0.25">
      <c r="B34" s="192" t="s">
        <v>912</v>
      </c>
      <c r="C34" s="29" t="s">
        <v>987</v>
      </c>
      <c r="D34" s="29"/>
      <c r="E34" s="189"/>
      <c r="F34" s="15">
        <f>'ANTP_1.4 Indicadores'!E31</f>
        <v>2209.6666666666665</v>
      </c>
      <c r="G34" s="29" t="s">
        <v>723</v>
      </c>
      <c r="H34" s="29"/>
    </row>
    <row r="35" spans="1:10" s="28" customFormat="1" x14ac:dyDescent="0.25">
      <c r="A35" s="189"/>
      <c r="B35" s="29"/>
      <c r="C35" s="29"/>
      <c r="D35" s="29"/>
      <c r="E35" s="29"/>
      <c r="H35" s="29"/>
    </row>
    <row r="36" spans="1:10" s="28" customFormat="1" x14ac:dyDescent="0.25">
      <c r="A36" s="230" t="s">
        <v>914</v>
      </c>
      <c r="B36" s="29"/>
      <c r="C36" s="29"/>
      <c r="D36" s="29"/>
      <c r="E36" s="29"/>
      <c r="H36" s="29"/>
      <c r="J36" s="190"/>
    </row>
    <row r="37" spans="1:10" s="28" customFormat="1" x14ac:dyDescent="0.25">
      <c r="A37" s="189"/>
      <c r="B37" s="29"/>
      <c r="C37" s="29"/>
      <c r="D37" s="29"/>
      <c r="E37" s="29"/>
      <c r="H37" s="29"/>
      <c r="J37" s="191"/>
    </row>
    <row r="38" spans="1:10" s="28" customFormat="1" x14ac:dyDescent="0.25">
      <c r="B38" s="230" t="s">
        <v>989</v>
      </c>
      <c r="C38" s="29"/>
      <c r="D38" s="29"/>
      <c r="E38" s="29"/>
      <c r="F38" s="194"/>
      <c r="I38" s="29"/>
    </row>
    <row r="39" spans="1:10" x14ac:dyDescent="0.25">
      <c r="C39" s="192" t="s">
        <v>541</v>
      </c>
      <c r="D39" s="1144" t="s">
        <v>988</v>
      </c>
      <c r="E39" s="1145"/>
      <c r="F39" s="73">
        <f>'ANTP_2.1.c Insumos'!F5</f>
        <v>5.6079999999999997</v>
      </c>
      <c r="H39" s="29" t="s">
        <v>49</v>
      </c>
      <c r="J39" s="193"/>
    </row>
    <row r="40" spans="1:10" x14ac:dyDescent="0.25">
      <c r="C40" s="192" t="s">
        <v>542</v>
      </c>
      <c r="D40" s="194" t="s">
        <v>895</v>
      </c>
      <c r="E40" s="194"/>
      <c r="F40" s="205">
        <f>'ANTP_2.1.a Combustível'!C14</f>
        <v>0.36</v>
      </c>
      <c r="J40" s="193"/>
    </row>
    <row r="41" spans="1:10" x14ac:dyDescent="0.25">
      <c r="F41" s="28"/>
      <c r="J41" s="193"/>
    </row>
    <row r="42" spans="1:10" x14ac:dyDescent="0.25">
      <c r="B42" s="230" t="s">
        <v>990</v>
      </c>
      <c r="E42" s="203"/>
      <c r="F42" s="28"/>
      <c r="J42" s="193"/>
    </row>
    <row r="43" spans="1:10" ht="26.25" customHeight="1" x14ac:dyDescent="0.25">
      <c r="C43" s="228" t="s">
        <v>916</v>
      </c>
      <c r="D43" s="1146" t="s">
        <v>1005</v>
      </c>
      <c r="E43" s="1147"/>
      <c r="F43" s="205">
        <f>'ANTP_2.1.c Insumos'!F8</f>
        <v>2.6499999999999999E-2</v>
      </c>
      <c r="G43" s="30"/>
      <c r="H43" s="100" t="s">
        <v>213</v>
      </c>
      <c r="J43" s="193"/>
    </row>
    <row r="44" spans="1:10" x14ac:dyDescent="0.25">
      <c r="F44" s="28"/>
      <c r="J44" s="193"/>
    </row>
    <row r="45" spans="1:10" x14ac:dyDescent="0.25">
      <c r="B45" s="230" t="s">
        <v>991</v>
      </c>
      <c r="F45" s="28"/>
      <c r="H45" s="28"/>
      <c r="J45" s="191"/>
    </row>
    <row r="46" spans="1:10" x14ac:dyDescent="0.25">
      <c r="C46" s="192" t="s">
        <v>917</v>
      </c>
      <c r="D46" s="1144" t="s">
        <v>1006</v>
      </c>
      <c r="E46" s="1145"/>
      <c r="F46" s="121">
        <f>'ANTP_2.1.c Insumos'!F11</f>
        <v>3.5</v>
      </c>
      <c r="H46" s="29" t="s">
        <v>49</v>
      </c>
      <c r="J46" s="191"/>
    </row>
    <row r="47" spans="1:10" ht="30" customHeight="1" x14ac:dyDescent="0.25">
      <c r="C47" s="228" t="s">
        <v>918</v>
      </c>
      <c r="D47" s="1146" t="s">
        <v>1007</v>
      </c>
      <c r="E47" s="1147"/>
      <c r="F47" s="206">
        <f>'ANTP_2.1.c Insumos'!F12</f>
        <v>0.04</v>
      </c>
      <c r="G47" s="30"/>
      <c r="H47" s="100" t="s">
        <v>52</v>
      </c>
      <c r="J47" s="191"/>
    </row>
    <row r="48" spans="1:10" x14ac:dyDescent="0.25">
      <c r="F48" s="28"/>
      <c r="J48" s="195"/>
    </row>
    <row r="49" spans="2:10" x14ac:dyDescent="0.25">
      <c r="B49" s="230" t="s">
        <v>992</v>
      </c>
      <c r="D49" s="193"/>
      <c r="F49" s="28"/>
      <c r="H49" s="28"/>
      <c r="J49" s="193"/>
    </row>
    <row r="50" spans="2:10" x14ac:dyDescent="0.25">
      <c r="C50" s="1149" t="s">
        <v>919</v>
      </c>
      <c r="D50" s="1150" t="s">
        <v>53</v>
      </c>
      <c r="E50" s="29" t="s">
        <v>1008</v>
      </c>
      <c r="F50" s="121">
        <f>'ANTP_2.1.c Insumos'!F15</f>
        <v>0</v>
      </c>
      <c r="H50" s="29" t="s">
        <v>55</v>
      </c>
      <c r="J50" s="193"/>
    </row>
    <row r="51" spans="2:10" x14ac:dyDescent="0.25">
      <c r="C51" s="1149"/>
      <c r="D51" s="1150"/>
      <c r="E51" s="29" t="s">
        <v>1010</v>
      </c>
      <c r="F51" s="121">
        <f>'ANTP_2.1.c Insumos'!F16</f>
        <v>1970.4</v>
      </c>
      <c r="H51" s="29" t="s">
        <v>55</v>
      </c>
      <c r="J51" s="195"/>
    </row>
    <row r="52" spans="2:10" x14ac:dyDescent="0.25">
      <c r="C52" s="1149"/>
      <c r="D52" s="1150"/>
      <c r="E52" s="29" t="s">
        <v>1009</v>
      </c>
      <c r="F52" s="121">
        <f>'ANTP_2.1.c Insumos'!F17</f>
        <v>0</v>
      </c>
      <c r="H52" s="29" t="s">
        <v>55</v>
      </c>
      <c r="J52" s="195"/>
    </row>
    <row r="53" spans="2:10" x14ac:dyDescent="0.25">
      <c r="C53" s="1149" t="s">
        <v>920</v>
      </c>
      <c r="D53" s="1151" t="s">
        <v>54</v>
      </c>
      <c r="E53" s="29" t="s">
        <v>1008</v>
      </c>
      <c r="F53" s="121">
        <f>'ANTP_2.1.c Insumos'!F18</f>
        <v>0</v>
      </c>
      <c r="H53" s="29" t="s">
        <v>55</v>
      </c>
    </row>
    <row r="54" spans="2:10" x14ac:dyDescent="0.25">
      <c r="C54" s="1149"/>
      <c r="D54" s="1151"/>
      <c r="E54" s="29" t="s">
        <v>1010</v>
      </c>
      <c r="F54" s="121">
        <f>'ANTP_2.1.c Insumos'!F19</f>
        <v>600</v>
      </c>
      <c r="H54" s="29" t="s">
        <v>55</v>
      </c>
      <c r="J54" s="193"/>
    </row>
    <row r="55" spans="2:10" x14ac:dyDescent="0.25">
      <c r="C55" s="1149"/>
      <c r="D55" s="1151"/>
      <c r="E55" s="29" t="s">
        <v>1009</v>
      </c>
      <c r="F55" s="121">
        <f>'ANTP_2.1.c Insumos'!F20</f>
        <v>0</v>
      </c>
      <c r="H55" s="29" t="s">
        <v>55</v>
      </c>
      <c r="J55" s="193"/>
    </row>
    <row r="56" spans="2:10" x14ac:dyDescent="0.25">
      <c r="F56" s="28"/>
      <c r="H56" s="28"/>
      <c r="J56" s="193"/>
    </row>
    <row r="57" spans="2:10" x14ac:dyDescent="0.25">
      <c r="B57" s="204" t="s">
        <v>993</v>
      </c>
      <c r="F57" s="28"/>
      <c r="H57" s="28"/>
      <c r="J57" s="193"/>
    </row>
    <row r="58" spans="2:10" ht="25.5" customHeight="1" x14ac:dyDescent="0.25">
      <c r="C58" s="228" t="s">
        <v>921</v>
      </c>
      <c r="D58" s="1146" t="s">
        <v>1011</v>
      </c>
      <c r="E58" s="1147"/>
      <c r="F58" s="74">
        <f>'ANTP_2.1.c Insumos'!F24</f>
        <v>1.4999999999999999E-2</v>
      </c>
      <c r="G58" s="30"/>
      <c r="H58" s="100" t="s">
        <v>52</v>
      </c>
      <c r="J58" s="193"/>
    </row>
    <row r="59" spans="2:10" x14ac:dyDescent="0.25">
      <c r="F59" s="28"/>
      <c r="H59" s="28"/>
      <c r="J59" s="193"/>
    </row>
    <row r="60" spans="2:10" x14ac:dyDescent="0.25">
      <c r="B60" s="204" t="s">
        <v>994</v>
      </c>
      <c r="F60" s="28"/>
      <c r="H60" s="28"/>
      <c r="J60" s="193"/>
    </row>
    <row r="61" spans="2:10" x14ac:dyDescent="0.25">
      <c r="C61" s="192" t="s">
        <v>922</v>
      </c>
      <c r="D61" s="1144" t="s">
        <v>1012</v>
      </c>
      <c r="E61" s="1145"/>
      <c r="F61" s="17">
        <f>'ANTP_2.1.c Insumos'!F27</f>
        <v>743200</v>
      </c>
      <c r="H61" s="29" t="s">
        <v>70</v>
      </c>
      <c r="J61" s="195"/>
    </row>
    <row r="62" spans="2:10" x14ac:dyDescent="0.25">
      <c r="F62" s="28"/>
      <c r="H62" s="28"/>
      <c r="J62" s="195"/>
    </row>
    <row r="63" spans="2:10" x14ac:dyDescent="0.25">
      <c r="B63" s="204" t="s">
        <v>995</v>
      </c>
      <c r="F63" s="28"/>
      <c r="H63" s="28"/>
      <c r="J63" s="195"/>
    </row>
    <row r="64" spans="2:10" x14ac:dyDescent="0.25">
      <c r="C64" s="192" t="s">
        <v>923</v>
      </c>
      <c r="D64" s="1144" t="s">
        <v>1013</v>
      </c>
      <c r="E64" s="1145"/>
      <c r="F64" s="121">
        <f>'ANTP_2.1.c Insumos'!F30</f>
        <v>1996.23</v>
      </c>
      <c r="H64" s="29" t="s">
        <v>152</v>
      </c>
      <c r="J64" s="195"/>
    </row>
    <row r="65" spans="3:10" x14ac:dyDescent="0.25">
      <c r="C65" s="192" t="s">
        <v>924</v>
      </c>
      <c r="D65" s="1144" t="s">
        <v>1014</v>
      </c>
      <c r="E65" s="1145"/>
      <c r="F65" s="121">
        <f>'ANTP_2.1.c Insumos'!F31</f>
        <v>0</v>
      </c>
      <c r="H65" s="29" t="s">
        <v>152</v>
      </c>
      <c r="J65" s="195"/>
    </row>
    <row r="66" spans="3:10" x14ac:dyDescent="0.25">
      <c r="C66" s="192" t="s">
        <v>924</v>
      </c>
      <c r="D66" s="1144" t="s">
        <v>1016</v>
      </c>
      <c r="E66" s="1145"/>
      <c r="F66" s="121">
        <f>'ANTP_2.1.c Insumos'!F32</f>
        <v>0</v>
      </c>
      <c r="H66" s="29" t="s">
        <v>152</v>
      </c>
      <c r="J66" s="195"/>
    </row>
    <row r="67" spans="3:10" x14ac:dyDescent="0.25">
      <c r="C67" s="192" t="s">
        <v>925</v>
      </c>
      <c r="D67" s="1144" t="s">
        <v>1015</v>
      </c>
      <c r="E67" s="1145"/>
      <c r="F67" s="121">
        <f>'ANTP_2.1.c Insumos'!F33</f>
        <v>0</v>
      </c>
      <c r="H67" s="29" t="s">
        <v>152</v>
      </c>
      <c r="J67" s="195"/>
    </row>
    <row r="68" spans="3:10" x14ac:dyDescent="0.25">
      <c r="C68" s="192" t="s">
        <v>926</v>
      </c>
      <c r="D68" s="1144" t="s">
        <v>1017</v>
      </c>
      <c r="E68" s="1145"/>
      <c r="F68" s="121">
        <f>'ANTP_2.1.c Insumos'!F34</f>
        <v>808.24</v>
      </c>
      <c r="H68" s="29" t="s">
        <v>152</v>
      </c>
      <c r="J68" s="195"/>
    </row>
    <row r="69" spans="3:10" x14ac:dyDescent="0.25">
      <c r="C69" s="192" t="s">
        <v>927</v>
      </c>
      <c r="D69" s="1144" t="s">
        <v>1018</v>
      </c>
      <c r="E69" s="1145"/>
      <c r="F69" s="121">
        <f>'ANTP_2.1.c Insumos'!F35</f>
        <v>0</v>
      </c>
      <c r="H69" s="29" t="s">
        <v>152</v>
      </c>
      <c r="J69" s="193"/>
    </row>
    <row r="70" spans="3:10" x14ac:dyDescent="0.25">
      <c r="C70" s="192" t="s">
        <v>928</v>
      </c>
      <c r="D70" s="1144" t="s">
        <v>1019</v>
      </c>
      <c r="E70" s="1145"/>
      <c r="F70" s="121">
        <f>'ANTP_2.1.c Insumos'!F36</f>
        <v>0</v>
      </c>
      <c r="H70" s="29" t="s">
        <v>152</v>
      </c>
      <c r="J70" s="195"/>
    </row>
    <row r="71" spans="3:10" x14ac:dyDescent="0.25">
      <c r="C71" s="192" t="s">
        <v>929</v>
      </c>
      <c r="D71" s="1144" t="s">
        <v>1020</v>
      </c>
      <c r="E71" s="1145"/>
      <c r="F71" s="121">
        <f>'ANTP_2.1.c Insumos'!F37</f>
        <v>0</v>
      </c>
      <c r="H71" s="29" t="s">
        <v>152</v>
      </c>
    </row>
    <row r="72" spans="3:10" x14ac:dyDescent="0.25">
      <c r="C72" s="192" t="s">
        <v>930</v>
      </c>
      <c r="D72" s="1144" t="s">
        <v>1021</v>
      </c>
      <c r="E72" s="1145"/>
      <c r="F72" s="183">
        <f>'ANTP_2.1.c Insumos'!F38</f>
        <v>2.278</v>
      </c>
      <c r="H72" s="100" t="s">
        <v>52</v>
      </c>
    </row>
    <row r="73" spans="3:10" x14ac:dyDescent="0.25">
      <c r="C73" s="192" t="s">
        <v>931</v>
      </c>
      <c r="D73" s="1144" t="s">
        <v>1022</v>
      </c>
      <c r="E73" s="1145"/>
      <c r="F73" s="183">
        <f>'ANTP_2.1.c Insumos'!F39</f>
        <v>0</v>
      </c>
      <c r="H73" s="100" t="s">
        <v>52</v>
      </c>
      <c r="J73" s="193"/>
    </row>
    <row r="74" spans="3:10" x14ac:dyDescent="0.25">
      <c r="C74" s="192" t="s">
        <v>932</v>
      </c>
      <c r="D74" s="1144" t="s">
        <v>1023</v>
      </c>
      <c r="E74" s="1145"/>
      <c r="F74" s="183">
        <f>'ANTP_2.1.c Insumos'!F40</f>
        <v>0</v>
      </c>
      <c r="H74" s="100" t="s">
        <v>52</v>
      </c>
      <c r="J74" s="193"/>
    </row>
    <row r="75" spans="3:10" x14ac:dyDescent="0.25">
      <c r="C75" s="192" t="s">
        <v>933</v>
      </c>
      <c r="D75" s="194" t="s">
        <v>1024</v>
      </c>
      <c r="E75" s="227"/>
      <c r="F75" s="183">
        <f>'ANTP_2.1.c Insumos'!F41</f>
        <v>0</v>
      </c>
      <c r="H75" s="100" t="s">
        <v>52</v>
      </c>
      <c r="J75" s="193"/>
    </row>
    <row r="76" spans="3:10" x14ac:dyDescent="0.25">
      <c r="C76" s="192" t="s">
        <v>967</v>
      </c>
      <c r="D76" s="1144" t="s">
        <v>1025</v>
      </c>
      <c r="E76" s="1145"/>
      <c r="F76" s="183">
        <f>'ANTP_2.1.c Insumos'!F42</f>
        <v>2.2530000000000001</v>
      </c>
      <c r="H76" s="100" t="s">
        <v>52</v>
      </c>
      <c r="J76" s="193"/>
    </row>
    <row r="77" spans="3:10" x14ac:dyDescent="0.25">
      <c r="C77" s="192" t="s">
        <v>934</v>
      </c>
      <c r="D77" s="1144" t="s">
        <v>1026</v>
      </c>
      <c r="E77" s="1145"/>
      <c r="F77" s="183">
        <f>'ANTP_2.1.c Insumos'!F43</f>
        <v>0</v>
      </c>
      <c r="H77" s="100" t="s">
        <v>52</v>
      </c>
      <c r="J77" s="193"/>
    </row>
    <row r="78" spans="3:10" x14ac:dyDescent="0.25">
      <c r="C78" s="192" t="s">
        <v>935</v>
      </c>
      <c r="D78" s="1144" t="s">
        <v>1027</v>
      </c>
      <c r="E78" s="1145"/>
      <c r="F78" s="183">
        <f>'ANTP_2.1.c Insumos'!F44</f>
        <v>0</v>
      </c>
      <c r="H78" s="100" t="s">
        <v>52</v>
      </c>
    </row>
    <row r="79" spans="3:10" x14ac:dyDescent="0.25">
      <c r="C79" s="192" t="s">
        <v>936</v>
      </c>
      <c r="D79" s="194" t="s">
        <v>1028</v>
      </c>
      <c r="E79" s="227"/>
      <c r="F79" s="183">
        <f>'ANTP_2.1.c Insumos'!F45</f>
        <v>0</v>
      </c>
      <c r="H79" s="100" t="s">
        <v>52</v>
      </c>
      <c r="J79" s="198"/>
    </row>
    <row r="80" spans="3:10" x14ac:dyDescent="0.25">
      <c r="C80" s="192" t="s">
        <v>937</v>
      </c>
      <c r="D80" s="1144" t="s">
        <v>1029</v>
      </c>
      <c r="E80" s="1145"/>
      <c r="F80" s="120">
        <f>'ANTP_2.1.c Insumos'!F46</f>
        <v>42.07</v>
      </c>
      <c r="H80" s="29" t="s">
        <v>68</v>
      </c>
      <c r="J80" s="198"/>
    </row>
    <row r="81" spans="1:10" s="197" customFormat="1" ht="30" customHeight="1" x14ac:dyDescent="0.2">
      <c r="A81" s="199"/>
      <c r="B81" s="100"/>
      <c r="C81" s="228" t="s">
        <v>938</v>
      </c>
      <c r="D81" s="1146" t="s">
        <v>1030</v>
      </c>
      <c r="E81" s="1147"/>
      <c r="F81" s="207">
        <f>'ANTP_2.1.c Insumos'!F47</f>
        <v>54</v>
      </c>
      <c r="G81" s="30"/>
      <c r="H81" s="100" t="s">
        <v>68</v>
      </c>
      <c r="I81" s="30"/>
      <c r="J81" s="198"/>
    </row>
    <row r="82" spans="1:10" x14ac:dyDescent="0.25">
      <c r="F82" s="28"/>
      <c r="H82" s="28"/>
      <c r="J82" s="198"/>
    </row>
    <row r="83" spans="1:10" x14ac:dyDescent="0.25">
      <c r="B83" s="204" t="s">
        <v>996</v>
      </c>
      <c r="F83" s="28"/>
      <c r="H83" s="28"/>
    </row>
    <row r="84" spans="1:10" x14ac:dyDescent="0.25">
      <c r="C84" s="192" t="s">
        <v>939</v>
      </c>
      <c r="D84" s="1144" t="s">
        <v>1031</v>
      </c>
      <c r="E84" s="1145"/>
      <c r="F84" s="208">
        <f>'ANTP_2.1.c Insumos'!F50</f>
        <v>0</v>
      </c>
      <c r="H84" s="29" t="s">
        <v>151</v>
      </c>
    </row>
    <row r="85" spans="1:10" x14ac:dyDescent="0.25">
      <c r="C85" s="192" t="s">
        <v>940</v>
      </c>
      <c r="D85" s="1144" t="s">
        <v>1032</v>
      </c>
      <c r="E85" s="1145"/>
      <c r="F85" s="208">
        <f>'ANTP_2.1.c Insumos'!F51</f>
        <v>213.81</v>
      </c>
      <c r="H85" s="29" t="s">
        <v>151</v>
      </c>
      <c r="J85" s="193"/>
    </row>
    <row r="86" spans="1:10" x14ac:dyDescent="0.25">
      <c r="C86" s="192" t="s">
        <v>968</v>
      </c>
      <c r="D86" s="1144" t="s">
        <v>1033</v>
      </c>
      <c r="E86" s="1145"/>
      <c r="F86" s="121">
        <f>'ANTP_2.1.c Insumos'!F52</f>
        <v>26400</v>
      </c>
      <c r="H86" s="29" t="s">
        <v>151</v>
      </c>
      <c r="J86" s="193"/>
    </row>
    <row r="87" spans="1:10" x14ac:dyDescent="0.25">
      <c r="C87" s="192" t="s">
        <v>941</v>
      </c>
      <c r="D87" s="1144" t="s">
        <v>1034</v>
      </c>
      <c r="E87" s="1145"/>
      <c r="F87" s="121">
        <f>'ANTP_2.1.c Insumos'!F53</f>
        <v>12262.80000000001</v>
      </c>
      <c r="H87" s="29" t="s">
        <v>151</v>
      </c>
      <c r="J87" s="193"/>
    </row>
    <row r="88" spans="1:10" x14ac:dyDescent="0.25">
      <c r="D88" s="194"/>
      <c r="E88" s="194"/>
      <c r="F88" s="28"/>
    </row>
    <row r="89" spans="1:10" x14ac:dyDescent="0.25">
      <c r="B89" s="204" t="s">
        <v>997</v>
      </c>
      <c r="F89" s="28"/>
    </row>
    <row r="90" spans="1:10" s="197" customFormat="1" ht="29.25" customHeight="1" x14ac:dyDescent="0.2">
      <c r="A90" s="199"/>
      <c r="B90" s="100"/>
      <c r="C90" s="228" t="s">
        <v>942</v>
      </c>
      <c r="D90" s="1146" t="s">
        <v>1035</v>
      </c>
      <c r="E90" s="1147"/>
      <c r="F90" s="122">
        <f>'ANTP_2.1.c Insumos'!F56</f>
        <v>10</v>
      </c>
      <c r="G90" s="30"/>
      <c r="H90" s="100" t="s">
        <v>140</v>
      </c>
      <c r="I90" s="30"/>
      <c r="J90" s="198"/>
    </row>
    <row r="91" spans="1:10" x14ac:dyDescent="0.25">
      <c r="C91" s="228" t="s">
        <v>943</v>
      </c>
      <c r="D91" s="1144" t="s">
        <v>1036</v>
      </c>
      <c r="E91" s="1145"/>
      <c r="F91" s="122">
        <f>'ANTP_2.1.c Insumos'!F57</f>
        <v>35000</v>
      </c>
      <c r="H91" s="29" t="s">
        <v>20</v>
      </c>
      <c r="J91" s="198"/>
    </row>
    <row r="92" spans="1:10" x14ac:dyDescent="0.25">
      <c r="C92" s="228" t="s">
        <v>969</v>
      </c>
      <c r="D92" s="194" t="s">
        <v>1037</v>
      </c>
      <c r="F92" s="122">
        <f>'ANTP_2.1.c Insumos'!F58</f>
        <v>15</v>
      </c>
      <c r="G92" s="30"/>
      <c r="H92" s="29" t="s">
        <v>140</v>
      </c>
      <c r="J92" s="195"/>
    </row>
    <row r="93" spans="1:10" x14ac:dyDescent="0.25">
      <c r="C93" s="228" t="s">
        <v>944</v>
      </c>
      <c r="D93" s="29" t="s">
        <v>627</v>
      </c>
      <c r="F93" s="122">
        <f>'ANTP_2.1.c Insumos'!F59</f>
        <v>2</v>
      </c>
      <c r="H93" s="29" t="s">
        <v>386</v>
      </c>
      <c r="J93" s="195"/>
    </row>
    <row r="94" spans="1:10" x14ac:dyDescent="0.25">
      <c r="F94" s="28"/>
      <c r="J94" s="198"/>
    </row>
    <row r="95" spans="1:10" x14ac:dyDescent="0.25">
      <c r="B95" s="1152" t="s">
        <v>998</v>
      </c>
      <c r="C95" s="1152"/>
      <c r="D95" s="1152"/>
      <c r="E95" s="203"/>
      <c r="F95" s="28"/>
      <c r="J95" s="195"/>
    </row>
    <row r="96" spans="1:10" ht="21.75" customHeight="1" x14ac:dyDescent="0.25">
      <c r="B96" s="194"/>
      <c r="C96" s="192" t="s">
        <v>945</v>
      </c>
      <c r="D96" s="194" t="s">
        <v>629</v>
      </c>
      <c r="E96" s="194"/>
      <c r="F96" s="121">
        <f>'ANTP_2.1.c Insumos'!F62</f>
        <v>8.875</v>
      </c>
      <c r="H96" s="29" t="s">
        <v>68</v>
      </c>
      <c r="J96" s="195"/>
    </row>
    <row r="97" spans="1:10" x14ac:dyDescent="0.25">
      <c r="B97" s="194"/>
      <c r="C97" s="192" t="s">
        <v>946</v>
      </c>
      <c r="D97" s="194" t="s">
        <v>630</v>
      </c>
      <c r="E97" s="194"/>
      <c r="F97" s="121">
        <f>'ANTP_2.1.c Insumos'!F63</f>
        <v>3.7150000000000003</v>
      </c>
      <c r="H97" s="29" t="s">
        <v>68</v>
      </c>
      <c r="J97" s="198"/>
    </row>
    <row r="98" spans="1:10" x14ac:dyDescent="0.25">
      <c r="C98" s="192" t="s">
        <v>970</v>
      </c>
      <c r="D98" s="1144" t="s">
        <v>1038</v>
      </c>
      <c r="E98" s="1145"/>
      <c r="F98" s="72">
        <f>'ANTP_2.1.c Insumos'!F64</f>
        <v>7.0175000000000001</v>
      </c>
      <c r="H98" s="29" t="s">
        <v>68</v>
      </c>
      <c r="J98" s="195"/>
    </row>
    <row r="99" spans="1:10" x14ac:dyDescent="0.25">
      <c r="F99" s="28"/>
      <c r="J99" s="195"/>
    </row>
    <row r="100" spans="1:10" x14ac:dyDescent="0.25">
      <c r="B100" s="204" t="s">
        <v>999</v>
      </c>
      <c r="F100" s="28"/>
    </row>
    <row r="101" spans="1:10" x14ac:dyDescent="0.25">
      <c r="A101" s="199"/>
      <c r="B101" s="100"/>
      <c r="C101" s="228" t="s">
        <v>947</v>
      </c>
      <c r="D101" s="1150" t="s">
        <v>1040</v>
      </c>
      <c r="E101" s="1153"/>
      <c r="F101" s="122">
        <f>'ANTP_2.1.c Insumos'!F67</f>
        <v>260647.2</v>
      </c>
      <c r="G101" s="30"/>
      <c r="H101" s="29" t="s">
        <v>20</v>
      </c>
    </row>
    <row r="102" spans="1:10" x14ac:dyDescent="0.25">
      <c r="C102" s="228" t="s">
        <v>948</v>
      </c>
      <c r="D102" s="1144" t="s">
        <v>1039</v>
      </c>
      <c r="E102" s="1145"/>
      <c r="F102" s="121">
        <f>'ANTP_2.1.c Insumos'!F68</f>
        <v>262382.87</v>
      </c>
      <c r="H102" s="29" t="s">
        <v>20</v>
      </c>
      <c r="J102" s="198"/>
    </row>
    <row r="103" spans="1:10" x14ac:dyDescent="0.25">
      <c r="A103" s="199"/>
      <c r="C103" s="228" t="s">
        <v>971</v>
      </c>
      <c r="D103" s="1144" t="s">
        <v>1041</v>
      </c>
      <c r="E103" s="1145"/>
      <c r="F103" s="96">
        <f>'ANTP_2.1.c Insumos'!F69</f>
        <v>25</v>
      </c>
      <c r="G103" s="30"/>
      <c r="H103" s="29" t="s">
        <v>140</v>
      </c>
      <c r="J103" s="198"/>
    </row>
    <row r="104" spans="1:10" x14ac:dyDescent="0.25">
      <c r="A104" s="199"/>
      <c r="C104" s="228" t="s">
        <v>949</v>
      </c>
      <c r="D104" s="1144" t="s">
        <v>1042</v>
      </c>
      <c r="E104" s="1145"/>
      <c r="F104" s="96">
        <f>'ANTP_2.1.c Insumos'!F70</f>
        <v>10</v>
      </c>
      <c r="G104" s="30"/>
      <c r="H104" s="29" t="s">
        <v>68</v>
      </c>
      <c r="J104" s="198"/>
    </row>
    <row r="105" spans="1:10" x14ac:dyDescent="0.25">
      <c r="C105" s="228" t="s">
        <v>950</v>
      </c>
      <c r="D105" s="1144" t="s">
        <v>1043</v>
      </c>
      <c r="E105" s="1145"/>
      <c r="F105" s="121">
        <f>'ANTP_2.1.c Insumos'!F71</f>
        <v>89438.01</v>
      </c>
      <c r="H105" s="29" t="s">
        <v>20</v>
      </c>
      <c r="J105" s="198"/>
    </row>
    <row r="106" spans="1:10" x14ac:dyDescent="0.25">
      <c r="C106" s="228" t="s">
        <v>951</v>
      </c>
      <c r="D106" s="1144" t="s">
        <v>1044</v>
      </c>
      <c r="E106" s="1145"/>
      <c r="F106" s="96">
        <f>'ANTP_2.1.c Insumos'!F72</f>
        <v>10</v>
      </c>
      <c r="G106" s="30"/>
      <c r="H106" s="29" t="s">
        <v>140</v>
      </c>
      <c r="J106" s="198"/>
    </row>
    <row r="107" spans="1:10" x14ac:dyDescent="0.25">
      <c r="C107" s="228" t="s">
        <v>952</v>
      </c>
      <c r="D107" s="1144" t="s">
        <v>1045</v>
      </c>
      <c r="E107" s="1145"/>
      <c r="F107" s="96">
        <f>'ANTP_2.1.c Insumos'!F73</f>
        <v>0</v>
      </c>
      <c r="G107" s="30"/>
      <c r="H107" s="29" t="s">
        <v>68</v>
      </c>
      <c r="J107" s="198"/>
    </row>
    <row r="108" spans="1:10" x14ac:dyDescent="0.25">
      <c r="C108" s="228" t="s">
        <v>953</v>
      </c>
      <c r="D108" s="229" t="s">
        <v>1046</v>
      </c>
      <c r="E108" s="200"/>
      <c r="F108" s="122">
        <f>'ANTP_2.1.c Insumos'!F74</f>
        <v>325683.59999999998</v>
      </c>
      <c r="G108" s="30"/>
      <c r="H108" s="29" t="s">
        <v>20</v>
      </c>
      <c r="J108" s="198"/>
    </row>
    <row r="109" spans="1:10" x14ac:dyDescent="0.25">
      <c r="C109" s="228" t="s">
        <v>954</v>
      </c>
      <c r="D109" s="229" t="s">
        <v>1047</v>
      </c>
      <c r="E109" s="200"/>
      <c r="F109" s="96">
        <f>'ANTP_2.1.c Insumos'!F75</f>
        <v>5</v>
      </c>
      <c r="G109" s="30"/>
      <c r="H109" s="29" t="s">
        <v>140</v>
      </c>
    </row>
    <row r="110" spans="1:10" x14ac:dyDescent="0.25">
      <c r="C110" s="228" t="s">
        <v>955</v>
      </c>
      <c r="D110" s="229" t="s">
        <v>1048</v>
      </c>
      <c r="E110" s="200"/>
      <c r="F110" s="96">
        <f>'ANTP_2.1.c Insumos'!F76</f>
        <v>0</v>
      </c>
      <c r="G110" s="30"/>
      <c r="H110" s="29" t="s">
        <v>68</v>
      </c>
      <c r="J110" s="195"/>
    </row>
    <row r="112" spans="1:10" x14ac:dyDescent="0.25">
      <c r="B112" s="204" t="s">
        <v>1000</v>
      </c>
      <c r="F112" s="28"/>
      <c r="J112" s="195"/>
    </row>
    <row r="113" spans="1:10" s="197" customFormat="1" ht="50.25" customHeight="1" x14ac:dyDescent="0.25">
      <c r="A113" s="199"/>
      <c r="B113" s="100"/>
      <c r="C113" s="228" t="s">
        <v>956</v>
      </c>
      <c r="D113" s="1146" t="s">
        <v>1049</v>
      </c>
      <c r="E113" s="1147"/>
      <c r="F113" s="122">
        <f>'ANTP_2.1.c Insumos'!F79</f>
        <v>3800</v>
      </c>
      <c r="G113" s="30"/>
      <c r="H113" s="100" t="s">
        <v>152</v>
      </c>
      <c r="I113" s="30"/>
      <c r="J113" s="196"/>
    </row>
    <row r="114" spans="1:10" s="197" customFormat="1" ht="26.25" customHeight="1" x14ac:dyDescent="0.25">
      <c r="A114" s="199"/>
      <c r="B114" s="100"/>
      <c r="C114" s="228" t="s">
        <v>957</v>
      </c>
      <c r="D114" s="1146" t="s">
        <v>1050</v>
      </c>
      <c r="E114" s="1147"/>
      <c r="F114" s="122">
        <f>'ANTP_2.1.c Insumos'!F80</f>
        <v>0</v>
      </c>
      <c r="G114" s="30"/>
      <c r="H114" s="100" t="s">
        <v>154</v>
      </c>
      <c r="I114" s="30"/>
      <c r="J114" s="196"/>
    </row>
    <row r="115" spans="1:10" s="197" customFormat="1" ht="24.75" customHeight="1" x14ac:dyDescent="0.2">
      <c r="A115" s="199"/>
      <c r="B115" s="100"/>
      <c r="C115" s="228" t="s">
        <v>972</v>
      </c>
      <c r="D115" s="1146" t="s">
        <v>1051</v>
      </c>
      <c r="E115" s="1147"/>
      <c r="F115" s="122">
        <f>'ANTP_2.1.c Insumos'!F81</f>
        <v>2757.6</v>
      </c>
      <c r="G115" s="30"/>
      <c r="H115" s="100" t="s">
        <v>151</v>
      </c>
      <c r="I115" s="30"/>
      <c r="J115" s="198"/>
    </row>
    <row r="116" spans="1:10" s="197" customFormat="1" ht="24.75" customHeight="1" x14ac:dyDescent="0.2">
      <c r="A116" s="199"/>
      <c r="B116" s="100"/>
      <c r="C116" s="228" t="s">
        <v>958</v>
      </c>
      <c r="D116" s="1150" t="s">
        <v>1052</v>
      </c>
      <c r="E116" s="1153"/>
      <c r="F116" s="122">
        <f>'ANTP_2.1.c Insumos'!F82</f>
        <v>11</v>
      </c>
      <c r="G116" s="30"/>
      <c r="H116" s="100" t="s">
        <v>155</v>
      </c>
      <c r="I116" s="30"/>
      <c r="J116" s="198"/>
    </row>
    <row r="117" spans="1:10" s="197" customFormat="1" ht="24.75" customHeight="1" x14ac:dyDescent="0.2">
      <c r="A117" s="199"/>
      <c r="B117" s="100"/>
      <c r="C117" s="228" t="s">
        <v>959</v>
      </c>
      <c r="D117" s="1150" t="s">
        <v>1053</v>
      </c>
      <c r="E117" s="1153"/>
      <c r="F117" s="122">
        <f>'ANTP_2.1.c Insumos'!F83</f>
        <v>0</v>
      </c>
      <c r="G117" s="30"/>
      <c r="H117" s="100" t="s">
        <v>152</v>
      </c>
      <c r="I117" s="30"/>
      <c r="J117" s="198"/>
    </row>
    <row r="118" spans="1:10" x14ac:dyDescent="0.25">
      <c r="C118" s="228" t="s">
        <v>960</v>
      </c>
      <c r="D118" s="29" t="s">
        <v>1054</v>
      </c>
      <c r="F118" s="122">
        <f>'ANTP_2.1.c Insumos'!F84</f>
        <v>2900</v>
      </c>
      <c r="G118" s="30"/>
      <c r="H118" s="29" t="s">
        <v>152</v>
      </c>
      <c r="J118" s="198"/>
    </row>
    <row r="119" spans="1:10" x14ac:dyDescent="0.25">
      <c r="C119" s="228"/>
      <c r="F119" s="29"/>
      <c r="G119" s="29"/>
      <c r="J119" s="198"/>
    </row>
    <row r="120" spans="1:10" x14ac:dyDescent="0.25">
      <c r="B120" s="204" t="s">
        <v>1001</v>
      </c>
      <c r="F120" s="28"/>
      <c r="J120" s="198"/>
    </row>
    <row r="121" spans="1:10" s="197" customFormat="1" ht="28.5" customHeight="1" x14ac:dyDescent="0.2">
      <c r="A121" s="199"/>
      <c r="B121" s="100"/>
      <c r="C121" s="100" t="s">
        <v>973</v>
      </c>
      <c r="D121" s="1150" t="s">
        <v>1055</v>
      </c>
      <c r="E121" s="1153"/>
      <c r="F121" s="99">
        <f>'ANTP_2.1.c Insumos'!F87</f>
        <v>2.82</v>
      </c>
      <c r="G121" s="30"/>
      <c r="H121" s="100" t="s">
        <v>68</v>
      </c>
      <c r="I121" s="30"/>
      <c r="J121" s="198"/>
    </row>
    <row r="123" spans="1:10" x14ac:dyDescent="0.25">
      <c r="B123" s="204" t="s">
        <v>1056</v>
      </c>
      <c r="F123" s="96">
        <f>'ANTP_2.1.c Insumos'!F89</f>
        <v>99200</v>
      </c>
      <c r="H123" s="29" t="s">
        <v>151</v>
      </c>
    </row>
    <row r="124" spans="1:10" x14ac:dyDescent="0.25">
      <c r="J124" s="198"/>
    </row>
    <row r="125" spans="1:10" x14ac:dyDescent="0.25">
      <c r="B125" s="204" t="s">
        <v>1002</v>
      </c>
      <c r="F125" s="28"/>
    </row>
    <row r="126" spans="1:10" s="197" customFormat="1" ht="23.25" customHeight="1" x14ac:dyDescent="0.25">
      <c r="A126" s="199"/>
      <c r="B126" s="100"/>
      <c r="C126" s="228" t="s">
        <v>961</v>
      </c>
      <c r="D126" s="1150" t="s">
        <v>1057</v>
      </c>
      <c r="E126" s="1153"/>
      <c r="F126" s="97">
        <f>'ANTP_2.1.c Insumos'!F92</f>
        <v>5</v>
      </c>
      <c r="G126" s="30"/>
      <c r="H126" s="100" t="s">
        <v>68</v>
      </c>
      <c r="I126" s="30"/>
      <c r="J126" s="196"/>
    </row>
    <row r="127" spans="1:10" s="197" customFormat="1" x14ac:dyDescent="0.25">
      <c r="A127" s="199"/>
      <c r="B127" s="100"/>
      <c r="C127" s="228" t="s">
        <v>962</v>
      </c>
      <c r="D127" s="1150" t="s">
        <v>1058</v>
      </c>
      <c r="E127" s="1153"/>
      <c r="F127" s="97">
        <f>'ANTP_2.1.c Insumos'!F93</f>
        <v>0</v>
      </c>
      <c r="G127" s="30"/>
      <c r="H127" s="100" t="s">
        <v>68</v>
      </c>
      <c r="I127" s="30"/>
      <c r="J127" s="196"/>
    </row>
    <row r="128" spans="1:10" s="197" customFormat="1" ht="24.75" customHeight="1" x14ac:dyDescent="0.25">
      <c r="A128" s="199"/>
      <c r="B128" s="100"/>
      <c r="C128" s="228" t="s">
        <v>974</v>
      </c>
      <c r="D128" s="1146" t="s">
        <v>1059</v>
      </c>
      <c r="E128" s="1147"/>
      <c r="F128" s="97">
        <f>'ANTP_2.1.c Insumos'!F94</f>
        <v>0</v>
      </c>
      <c r="G128" s="30"/>
      <c r="H128" s="100" t="s">
        <v>68</v>
      </c>
      <c r="I128" s="30"/>
      <c r="J128" s="196"/>
    </row>
    <row r="129" spans="1:10" s="197" customFormat="1" ht="24.75" customHeight="1" x14ac:dyDescent="0.25">
      <c r="A129" s="199"/>
      <c r="B129" s="100"/>
      <c r="C129" s="228" t="s">
        <v>963</v>
      </c>
      <c r="D129" s="1146" t="s">
        <v>1060</v>
      </c>
      <c r="E129" s="1147"/>
      <c r="F129" s="97">
        <f>'ANTP_2.1.c Insumos'!F95</f>
        <v>0</v>
      </c>
      <c r="G129" s="30"/>
      <c r="H129" s="100" t="s">
        <v>68</v>
      </c>
      <c r="I129" s="30"/>
      <c r="J129" s="196"/>
    </row>
    <row r="130" spans="1:10" s="197" customFormat="1" ht="40.5" customHeight="1" x14ac:dyDescent="0.25">
      <c r="A130" s="199"/>
      <c r="B130" s="100"/>
      <c r="C130" s="228" t="s">
        <v>964</v>
      </c>
      <c r="D130" s="1146" t="s">
        <v>1064</v>
      </c>
      <c r="E130" s="1147"/>
      <c r="F130" s="97">
        <f>'ANTP_2.1.c Insumos'!F96</f>
        <v>1</v>
      </c>
      <c r="G130" s="30"/>
      <c r="H130" s="100" t="s">
        <v>68</v>
      </c>
      <c r="I130" s="30"/>
      <c r="J130" s="196"/>
    </row>
    <row r="131" spans="1:10" s="197" customFormat="1" x14ac:dyDescent="0.25">
      <c r="A131" s="199"/>
      <c r="B131" s="100"/>
      <c r="C131" s="228" t="s">
        <v>965</v>
      </c>
      <c r="D131" s="1150" t="s">
        <v>1062</v>
      </c>
      <c r="E131" s="1153"/>
      <c r="F131" s="97">
        <f>'ANTP_2.1.c Insumos'!F97</f>
        <v>0</v>
      </c>
      <c r="G131" s="30"/>
      <c r="H131" s="100" t="s">
        <v>68</v>
      </c>
      <c r="I131" s="30"/>
      <c r="J131" s="196"/>
    </row>
    <row r="132" spans="1:10" s="197" customFormat="1" x14ac:dyDescent="0.25">
      <c r="A132" s="199"/>
      <c r="B132" s="100"/>
      <c r="C132" s="228" t="s">
        <v>966</v>
      </c>
      <c r="D132" s="1150" t="s">
        <v>1061</v>
      </c>
      <c r="E132" s="1153"/>
      <c r="F132" s="97">
        <f>'ANTP_2.1.c Insumos'!F98</f>
        <v>0</v>
      </c>
      <c r="G132" s="30"/>
      <c r="H132" s="100" t="s">
        <v>68</v>
      </c>
      <c r="I132" s="30"/>
      <c r="J132" s="196"/>
    </row>
    <row r="134" spans="1:10" x14ac:dyDescent="0.25">
      <c r="B134" s="204" t="s">
        <v>1070</v>
      </c>
      <c r="F134" s="100"/>
    </row>
    <row r="135" spans="1:10" x14ac:dyDescent="0.25">
      <c r="C135" s="228" t="s">
        <v>1003</v>
      </c>
      <c r="D135" s="1150" t="s">
        <v>1071</v>
      </c>
      <c r="E135" s="1153"/>
      <c r="F135" s="98">
        <f>'ANTP_2.1.c Insumos'!F101</f>
        <v>4059.4066902335203</v>
      </c>
      <c r="G135" s="30"/>
      <c r="H135" s="100" t="s">
        <v>152</v>
      </c>
      <c r="I135" s="30"/>
    </row>
    <row r="136" spans="1:10" x14ac:dyDescent="0.25">
      <c r="F136" s="28"/>
    </row>
    <row r="137" spans="1:10" x14ac:dyDescent="0.25">
      <c r="F137" s="28"/>
    </row>
    <row r="138" spans="1:10" x14ac:dyDescent="0.25">
      <c r="F138" s="28"/>
    </row>
    <row r="139" spans="1:10" x14ac:dyDescent="0.25">
      <c r="F139" s="28"/>
    </row>
    <row r="140" spans="1:10" x14ac:dyDescent="0.25">
      <c r="F140" s="28"/>
    </row>
    <row r="141" spans="1:10" x14ac:dyDescent="0.25">
      <c r="F141" s="28"/>
    </row>
    <row r="142" spans="1:10" x14ac:dyDescent="0.25">
      <c r="F142" s="28"/>
    </row>
    <row r="143" spans="1:10" x14ac:dyDescent="0.25">
      <c r="F143" s="28"/>
    </row>
    <row r="144" spans="1:10" x14ac:dyDescent="0.25">
      <c r="F144" s="28"/>
    </row>
    <row r="145" spans="6:6" x14ac:dyDescent="0.25">
      <c r="F145" s="28"/>
    </row>
    <row r="146" spans="6:6" x14ac:dyDescent="0.25">
      <c r="F146" s="28"/>
    </row>
    <row r="147" spans="6:6" x14ac:dyDescent="0.25">
      <c r="F147" s="28"/>
    </row>
    <row r="148" spans="6:6" x14ac:dyDescent="0.25">
      <c r="F148" s="28"/>
    </row>
    <row r="149" spans="6:6" x14ac:dyDescent="0.25">
      <c r="F149" s="28"/>
    </row>
    <row r="150" spans="6:6" x14ac:dyDescent="0.25">
      <c r="F150" s="28"/>
    </row>
    <row r="151" spans="6:6" x14ac:dyDescent="0.25">
      <c r="F151" s="28"/>
    </row>
    <row r="152" spans="6:6" x14ac:dyDescent="0.25">
      <c r="F152" s="28"/>
    </row>
    <row r="153" spans="6:6" x14ac:dyDescent="0.25">
      <c r="F153" s="28"/>
    </row>
    <row r="154" spans="6:6" x14ac:dyDescent="0.25">
      <c r="F154" s="28"/>
    </row>
    <row r="155" spans="6:6" x14ac:dyDescent="0.25">
      <c r="F155" s="28"/>
    </row>
    <row r="156" spans="6:6" x14ac:dyDescent="0.25">
      <c r="F156" s="28"/>
    </row>
    <row r="157" spans="6:6" x14ac:dyDescent="0.25">
      <c r="F157" s="28"/>
    </row>
    <row r="158" spans="6:6" x14ac:dyDescent="0.25">
      <c r="F158" s="28"/>
    </row>
    <row r="159" spans="6:6" x14ac:dyDescent="0.25">
      <c r="F159" s="28"/>
    </row>
    <row r="160" spans="6:6" x14ac:dyDescent="0.25">
      <c r="F160" s="28"/>
    </row>
    <row r="161" spans="6:6" x14ac:dyDescent="0.25">
      <c r="F161" s="28"/>
    </row>
    <row r="162" spans="6:6" x14ac:dyDescent="0.25">
      <c r="F162" s="28"/>
    </row>
    <row r="163" spans="6:6" x14ac:dyDescent="0.25">
      <c r="F163" s="28"/>
    </row>
    <row r="164" spans="6:6" x14ac:dyDescent="0.25">
      <c r="F164" s="28"/>
    </row>
    <row r="165" spans="6:6" x14ac:dyDescent="0.25">
      <c r="F165" s="28"/>
    </row>
    <row r="166" spans="6:6" x14ac:dyDescent="0.25">
      <c r="F166" s="28"/>
    </row>
    <row r="167" spans="6:6" x14ac:dyDescent="0.25">
      <c r="F167" s="28"/>
    </row>
    <row r="168" spans="6:6" x14ac:dyDescent="0.25">
      <c r="F168" s="28"/>
    </row>
    <row r="169" spans="6:6" x14ac:dyDescent="0.25">
      <c r="F169" s="28"/>
    </row>
    <row r="170" spans="6:6" x14ac:dyDescent="0.25">
      <c r="F170" s="28"/>
    </row>
    <row r="171" spans="6:6" x14ac:dyDescent="0.25">
      <c r="F171" s="28"/>
    </row>
    <row r="172" spans="6:6" x14ac:dyDescent="0.25">
      <c r="F172" s="28"/>
    </row>
    <row r="173" spans="6:6" x14ac:dyDescent="0.25">
      <c r="F173" s="28"/>
    </row>
    <row r="174" spans="6:6" x14ac:dyDescent="0.25">
      <c r="F174" s="28"/>
    </row>
    <row r="175" spans="6:6" x14ac:dyDescent="0.25">
      <c r="F175" s="28"/>
    </row>
    <row r="176" spans="6:6" x14ac:dyDescent="0.25">
      <c r="F176" s="28"/>
    </row>
    <row r="177" spans="6:6" x14ac:dyDescent="0.25">
      <c r="F177" s="28"/>
    </row>
    <row r="178" spans="6:6" x14ac:dyDescent="0.25">
      <c r="F178" s="28"/>
    </row>
    <row r="179" spans="6:6" x14ac:dyDescent="0.25">
      <c r="F179" s="28"/>
    </row>
    <row r="180" spans="6:6" x14ac:dyDescent="0.25">
      <c r="F180" s="28"/>
    </row>
    <row r="181" spans="6:6" x14ac:dyDescent="0.25">
      <c r="F181" s="28"/>
    </row>
    <row r="182" spans="6:6" x14ac:dyDescent="0.25">
      <c r="F182" s="28"/>
    </row>
    <row r="183" spans="6:6" x14ac:dyDescent="0.25">
      <c r="F183" s="28"/>
    </row>
    <row r="184" spans="6:6" x14ac:dyDescent="0.25">
      <c r="F184" s="28"/>
    </row>
    <row r="185" spans="6:6" x14ac:dyDescent="0.25">
      <c r="F185" s="28"/>
    </row>
    <row r="186" spans="6:6" x14ac:dyDescent="0.25">
      <c r="F186" s="28"/>
    </row>
    <row r="187" spans="6:6" x14ac:dyDescent="0.25">
      <c r="F187" s="28"/>
    </row>
    <row r="188" spans="6:6" x14ac:dyDescent="0.25">
      <c r="F188" s="28"/>
    </row>
    <row r="189" spans="6:6" x14ac:dyDescent="0.25">
      <c r="F189" s="28"/>
    </row>
    <row r="190" spans="6:6" x14ac:dyDescent="0.25">
      <c r="F190" s="28"/>
    </row>
    <row r="191" spans="6:6" x14ac:dyDescent="0.25">
      <c r="F191" s="28"/>
    </row>
    <row r="192" spans="6:6" x14ac:dyDescent="0.25">
      <c r="F192" s="28"/>
    </row>
    <row r="193" spans="6:6" x14ac:dyDescent="0.25">
      <c r="F193" s="28"/>
    </row>
    <row r="194" spans="6:6" x14ac:dyDescent="0.25">
      <c r="F194" s="28"/>
    </row>
    <row r="195" spans="6:6" x14ac:dyDescent="0.25">
      <c r="F195" s="28"/>
    </row>
    <row r="196" spans="6:6" x14ac:dyDescent="0.25">
      <c r="F196" s="28"/>
    </row>
    <row r="197" spans="6:6" x14ac:dyDescent="0.25">
      <c r="F197" s="28"/>
    </row>
    <row r="198" spans="6:6" x14ac:dyDescent="0.25">
      <c r="F198" s="28"/>
    </row>
    <row r="199" spans="6:6" x14ac:dyDescent="0.25">
      <c r="F199" s="28"/>
    </row>
    <row r="200" spans="6:6" x14ac:dyDescent="0.25">
      <c r="F200" s="28"/>
    </row>
    <row r="201" spans="6:6" x14ac:dyDescent="0.25">
      <c r="F201" s="28"/>
    </row>
    <row r="202" spans="6:6" x14ac:dyDescent="0.25">
      <c r="F202" s="28"/>
    </row>
    <row r="203" spans="6:6" x14ac:dyDescent="0.25">
      <c r="F203" s="28"/>
    </row>
    <row r="204" spans="6:6" x14ac:dyDescent="0.25">
      <c r="F204" s="28"/>
    </row>
    <row r="205" spans="6:6" x14ac:dyDescent="0.25">
      <c r="F205" s="28"/>
    </row>
    <row r="206" spans="6:6" x14ac:dyDescent="0.25">
      <c r="F206" s="28"/>
    </row>
    <row r="207" spans="6:6" x14ac:dyDescent="0.25">
      <c r="F207" s="28"/>
    </row>
    <row r="208" spans="6:6" x14ac:dyDescent="0.25">
      <c r="F208" s="28"/>
    </row>
    <row r="209" spans="6:6" x14ac:dyDescent="0.25">
      <c r="F209" s="28"/>
    </row>
    <row r="210" spans="6:6" x14ac:dyDescent="0.25">
      <c r="F210" s="28"/>
    </row>
    <row r="211" spans="6:6" x14ac:dyDescent="0.25">
      <c r="F211" s="28"/>
    </row>
  </sheetData>
  <sheetProtection algorithmName="SHA-512" hashValue="7/6pU0B1YkhGrENZqzrIcGKm7KYJ7N4Xfvgga7riaiwi7PF5tzvAS0v9B4SnRvNF7HQCEQx9K6umTZJF38NNdw==" saltValue="lGiYx+jeRiwSIlgmK3pqtg==" spinCount="100000" sheet="1" objects="1" scenarios="1"/>
  <mergeCells count="56">
    <mergeCell ref="D129:E129"/>
    <mergeCell ref="D130:E130"/>
    <mergeCell ref="D131:E131"/>
    <mergeCell ref="D132:E132"/>
    <mergeCell ref="D135:E135"/>
    <mergeCell ref="D103:E103"/>
    <mergeCell ref="D104:E104"/>
    <mergeCell ref="D128:E128"/>
    <mergeCell ref="D105:E105"/>
    <mergeCell ref="D106:E106"/>
    <mergeCell ref="D107:E107"/>
    <mergeCell ref="D113:E113"/>
    <mergeCell ref="D114:E114"/>
    <mergeCell ref="D115:E115"/>
    <mergeCell ref="D116:E116"/>
    <mergeCell ref="D117:E117"/>
    <mergeCell ref="D121:E121"/>
    <mergeCell ref="D126:E126"/>
    <mergeCell ref="D127:E127"/>
    <mergeCell ref="D102:E102"/>
    <mergeCell ref="D80:E80"/>
    <mergeCell ref="D81:E81"/>
    <mergeCell ref="D84:E84"/>
    <mergeCell ref="D85:E85"/>
    <mergeCell ref="D86:E86"/>
    <mergeCell ref="D87:E87"/>
    <mergeCell ref="D90:E90"/>
    <mergeCell ref="D91:E91"/>
    <mergeCell ref="B95:D95"/>
    <mergeCell ref="D98:E98"/>
    <mergeCell ref="D101:E101"/>
    <mergeCell ref="D78:E78"/>
    <mergeCell ref="D66:E66"/>
    <mergeCell ref="D67:E67"/>
    <mergeCell ref="D68:E68"/>
    <mergeCell ref="D69:E69"/>
    <mergeCell ref="D70:E70"/>
    <mergeCell ref="D71:E71"/>
    <mergeCell ref="D72:E72"/>
    <mergeCell ref="D73:E73"/>
    <mergeCell ref="D74:E74"/>
    <mergeCell ref="D76:E76"/>
    <mergeCell ref="D77:E77"/>
    <mergeCell ref="D65:E65"/>
    <mergeCell ref="D39:E39"/>
    <mergeCell ref="D43:E43"/>
    <mergeCell ref="A4:H4"/>
    <mergeCell ref="D46:E46"/>
    <mergeCell ref="D47:E47"/>
    <mergeCell ref="C50:C52"/>
    <mergeCell ref="D50:D52"/>
    <mergeCell ref="C53:C55"/>
    <mergeCell ref="D53:D55"/>
    <mergeCell ref="D58:E58"/>
    <mergeCell ref="D61:E61"/>
    <mergeCell ref="D64:E64"/>
  </mergeCells>
  <pageMargins left="0.51181102362204722" right="0.31496062992125984" top="1.1811023622047245" bottom="0.39370078740157483" header="0.31496062992125984" footer="0.31496062992125984"/>
  <pageSetup paperSize="9" scale="85" fitToHeight="3" orientation="portrait" r:id="rId1"/>
  <rowBreaks count="2" manualBreakCount="2">
    <brk id="55" max="7" man="1"/>
    <brk id="98"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J42"/>
  <sheetViews>
    <sheetView view="pageBreakPreview" zoomScaleNormal="100" zoomScaleSheetLayoutView="100" workbookViewId="0"/>
  </sheetViews>
  <sheetFormatPr defaultColWidth="11.42578125" defaultRowHeight="12.75" x14ac:dyDescent="0.2"/>
  <cols>
    <col min="1" max="1" width="5.28515625" style="31" bestFit="1" customWidth="1"/>
    <col min="2" max="2" width="6.28515625" style="18" bestFit="1" customWidth="1"/>
    <col min="3" max="3" width="24.28515625" style="18" bestFit="1" customWidth="1"/>
    <col min="4" max="4" width="4.140625" style="20" customWidth="1"/>
    <col min="5" max="5" width="17.5703125" customWidth="1"/>
    <col min="6" max="6" width="14.5703125" bestFit="1" customWidth="1"/>
    <col min="7" max="7" width="11.42578125" customWidth="1"/>
    <col min="8" max="8" width="1.28515625" customWidth="1"/>
    <col min="9" max="9" width="11.42578125" customWidth="1"/>
    <col min="10" max="10" width="38.7109375" bestFit="1" customWidth="1"/>
    <col min="11" max="11" width="1" customWidth="1"/>
  </cols>
  <sheetData>
    <row r="1" spans="1:7" ht="15" x14ac:dyDescent="0.25">
      <c r="B1" s="560" t="s">
        <v>1182</v>
      </c>
    </row>
    <row r="3" spans="1:7" s="26" customFormat="1" x14ac:dyDescent="0.2">
      <c r="A3" s="26" t="s">
        <v>540</v>
      </c>
      <c r="B3" s="26" t="s">
        <v>184</v>
      </c>
      <c r="D3" s="48" t="s">
        <v>20</v>
      </c>
      <c r="E3" s="49">
        <f>SUM(E5:E10)</f>
        <v>204012.0956464</v>
      </c>
      <c r="F3" s="62"/>
    </row>
    <row r="5" spans="1:7" x14ac:dyDescent="0.2">
      <c r="B5" s="18" t="s">
        <v>541</v>
      </c>
      <c r="C5" s="18" t="s">
        <v>73</v>
      </c>
      <c r="D5" s="32" t="s">
        <v>20</v>
      </c>
      <c r="E5" s="33">
        <f>'ANTP_2.1.c Insumos'!F5*'ANTP_2.1.a Combustível'!C75</f>
        <v>112684.79664</v>
      </c>
      <c r="F5" s="54"/>
      <c r="G5" s="54"/>
    </row>
    <row r="6" spans="1:7" x14ac:dyDescent="0.2">
      <c r="B6" s="18" t="s">
        <v>542</v>
      </c>
      <c r="C6" s="18" t="s">
        <v>51</v>
      </c>
      <c r="D6" s="32" t="s">
        <v>20</v>
      </c>
      <c r="E6" s="33">
        <f>'ANTP_2.1.c Insumos'!F5*'ANTP_2.1.c Insumos'!F8*'ANTP_1.4 Indicadores'!E11</f>
        <v>7656.787464</v>
      </c>
      <c r="F6" s="54"/>
      <c r="G6" s="54"/>
    </row>
    <row r="7" spans="1:7" x14ac:dyDescent="0.2">
      <c r="B7" s="18" t="s">
        <v>543</v>
      </c>
      <c r="C7" s="18" t="s">
        <v>74</v>
      </c>
      <c r="D7" s="32" t="s">
        <v>20</v>
      </c>
      <c r="E7" s="33">
        <f>'ANTP_2.1.c Insumos'!F11*'ANTP_2.1.c Insumos'!F12*'ANTP_2.1.a Combustível'!C75</f>
        <v>2813.1012000000005</v>
      </c>
      <c r="F7" s="54"/>
      <c r="G7" s="54"/>
    </row>
    <row r="8" spans="1:7" x14ac:dyDescent="0.2">
      <c r="B8" s="18" t="s">
        <v>544</v>
      </c>
      <c r="C8" s="18" t="s">
        <v>75</v>
      </c>
      <c r="D8" s="32" t="s">
        <v>20</v>
      </c>
      <c r="E8" s="33">
        <f>('ANTP_1.4 Indicadores'!E11/'ANTP_1.4 Indicadores'!E18)*SUM('Ref_A.VI. Rodagem'!E56:F62)</f>
        <v>9324.4103424000004</v>
      </c>
      <c r="F8" s="54"/>
      <c r="G8" s="54"/>
    </row>
    <row r="9" spans="1:7" x14ac:dyDescent="0.2">
      <c r="B9" s="18" t="s">
        <v>545</v>
      </c>
      <c r="C9" s="18" t="s">
        <v>76</v>
      </c>
      <c r="D9" s="32" t="s">
        <v>20</v>
      </c>
      <c r="E9" s="33">
        <f>((((SUM('ANTP_1.3 Frota Total'!E33:H35)+SUM('ANTP_1.3 Frota Total'!E39:H41)+SUM('ANTP_1.3 Frota Total'!E50:H52)+SUM('ANTP_1.3 Frota Total'!E61:H63)+SUM('ANTP_1.3 Frota Total'!E72:H74)+SUM('ANTP_1.3 Frota Total'!E83:H85)+SUM('ANTP_1.3 Frota Total'!E96:H98))*'Ref_A.VII. Peças e acessórios '!F9)+((SUM('ANTP_1.3 Frota Total'!E36:H37)+SUM('ANTP_1.3 Frota Total'!E42:H43)+SUM('ANTP_1.3 Frota Total'!E53:H54)+SUM('ANTP_1.3 Frota Total'!E64:H65)+SUM('ANTP_1.3 Frota Total'!E75:H76)+SUM('ANTP_1.3 Frota Total'!E86:H87)+SUM('ANTP_1.3 Frota Total'!E99:H100))*'Ref_A.VII. Peças e acessórios '!F10)+((SUM('ANTP_1.3 Frota Total'!E38:H38)+SUM('ANTP_1.3 Frota Total'!E44:H45)+SUM('ANTP_1.3 Frota Total'!E55:H56)+SUM('ANTP_1.3 Frota Total'!E66:H67)+SUM('ANTP_1.3 Frota Total'!E77:H78)+SUM('ANTP_1.3 Frota Total'!E88:H89)+SUM('ANTP_1.3 Frota Total'!E101:H102))*'Ref_A.VII. Peças e acessórios '!F11)+((SUM('ANTP_1.3 Frota Total'!E46:H47)+SUM('ANTP_1.3 Frota Total'!E57:H58)+SUM('ANTP_1.3 Frota Total'!E68:H69)+SUM('ANTP_1.3 Frota Total'!E79:H80)+SUM('ANTP_1.3 Frota Total'!E90:H91)+SUM('ANTP_1.3 Frota Total'!E103:H104))*'Ref_A.VII. Peças e acessórios '!F12)+((SUM('ANTP_1.3 Frota Total'!E48:H49)+SUM('ANTP_1.3 Frota Total'!E59:H60)+SUM('ANTP_1.3 Frota Total'!E70:H71)+SUM('ANTP_1.3 Frota Total'!E81:H82)+SUM('ANTP_1.3 Frota Total'!E92:H93)+SUM('ANTP_1.3 Frota Total'!E105:H106))*'Ref_A.VII. Peças e acessórios '!F13)+((SUM('ANTP_1.3 Frota Total'!E94:H95)+SUM('ANTP_1.3 Frota Total'!E107:H108))*'Ref_A.VII. Peças e acessórios '!F14))*('ANTP_2.1.b Veículos'!D60/12))</f>
        <v>61314.000000000007</v>
      </c>
      <c r="F9" s="54"/>
      <c r="G9" s="54"/>
    </row>
    <row r="10" spans="1:7" x14ac:dyDescent="0.2">
      <c r="B10" s="18" t="s">
        <v>546</v>
      </c>
      <c r="C10" s="18" t="s">
        <v>69</v>
      </c>
      <c r="D10" s="32" t="s">
        <v>20</v>
      </c>
      <c r="E10" s="33">
        <f>'ANTP_2.1.c Insumos'!F24*'ANTP_2.1.b Veículos'!D60*'ANTP_1.4 Indicadores'!E18/12</f>
        <v>10219</v>
      </c>
      <c r="F10" s="54"/>
      <c r="G10" s="54"/>
    </row>
    <row r="14" spans="1:7" x14ac:dyDescent="0.2">
      <c r="F14" s="58"/>
    </row>
    <row r="20" spans="9:9" x14ac:dyDescent="0.2">
      <c r="I20" s="69"/>
    </row>
    <row r="21" spans="9:9" x14ac:dyDescent="0.2">
      <c r="I21" s="69"/>
    </row>
    <row r="22" spans="9:9" x14ac:dyDescent="0.2">
      <c r="I22" s="70"/>
    </row>
    <row r="23" spans="9:9" x14ac:dyDescent="0.2">
      <c r="I23" s="70"/>
    </row>
    <row r="42" spans="10:10" ht="15" x14ac:dyDescent="0.25">
      <c r="J42" s="60"/>
    </row>
  </sheetData>
  <sheetProtection algorithmName="SHA-512" hashValue="Zrba0e8y4Pf2v+9snA8KG1zURhvLiK45Q5Y4OHDoS5OoebfteE0FZkMkSgC93XJarjg53Rv8Bwkn+VsbjcynDw==" saltValue="pvZ6gvPoYREl8yA4Cq9r+A==" spinCount="100000" sheet="1" objects="1" scenarios="1"/>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T66"/>
  <sheetViews>
    <sheetView view="pageBreakPreview" zoomScale="85" zoomScaleNormal="100" zoomScaleSheetLayoutView="85" workbookViewId="0"/>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6.42578125" style="34" bestFit="1" customWidth="1"/>
    <col min="9" max="9" width="11.42578125" customWidth="1"/>
    <col min="10" max="10" width="1.7109375" customWidth="1"/>
    <col min="11" max="11" width="11.7109375" bestFit="1" customWidth="1"/>
    <col min="12" max="12" width="38.7109375" bestFit="1" customWidth="1"/>
    <col min="13" max="13" width="1.28515625" customWidth="1"/>
    <col min="14" max="14" width="10.28515625" bestFit="1" customWidth="1"/>
    <col min="15" max="15" width="13.7109375" bestFit="1" customWidth="1"/>
    <col min="16" max="16" width="17.7109375" customWidth="1"/>
    <col min="17" max="17" width="11.42578125" customWidth="1"/>
    <col min="18" max="18" width="11.7109375" bestFit="1" customWidth="1"/>
  </cols>
  <sheetData>
    <row r="1" spans="1:20" ht="15" x14ac:dyDescent="0.25">
      <c r="B1" s="560" t="s">
        <v>1182</v>
      </c>
    </row>
    <row r="3" spans="1:20" x14ac:dyDescent="0.2">
      <c r="A3" s="26" t="s">
        <v>547</v>
      </c>
      <c r="B3" s="1139" t="s">
        <v>185</v>
      </c>
      <c r="C3" s="1139"/>
      <c r="D3" s="1139"/>
      <c r="E3" s="1139"/>
      <c r="F3" s="45" t="s">
        <v>20</v>
      </c>
      <c r="G3" s="46"/>
      <c r="H3" s="47">
        <f>H5+H12+H20+H24+H32+H33+H34</f>
        <v>190795.01291550623</v>
      </c>
      <c r="P3" s="34"/>
    </row>
    <row r="5" spans="1:20" x14ac:dyDescent="0.2">
      <c r="B5" s="89" t="s">
        <v>554</v>
      </c>
      <c r="C5" s="1139" t="s">
        <v>93</v>
      </c>
      <c r="D5" s="1139"/>
      <c r="E5" s="1140"/>
      <c r="F5" s="40" t="s">
        <v>20</v>
      </c>
      <c r="G5" s="38"/>
      <c r="H5" s="37">
        <f>SUM(H6:H10)</f>
        <v>40164.184026666662</v>
      </c>
    </row>
    <row r="6" spans="1:20" x14ac:dyDescent="0.2">
      <c r="D6" s="18" t="s">
        <v>548</v>
      </c>
      <c r="E6" s="18" t="s">
        <v>97</v>
      </c>
      <c r="F6" s="41"/>
      <c r="G6" s="39" t="s">
        <v>20</v>
      </c>
      <c r="H6" s="35">
        <f>'Ref_A.IX.a. Deprec. veículos'!G277</f>
        <v>32911.991999999998</v>
      </c>
    </row>
    <row r="7" spans="1:20" x14ac:dyDescent="0.2">
      <c r="D7" s="18" t="s">
        <v>549</v>
      </c>
      <c r="E7" s="18" t="s">
        <v>98</v>
      </c>
      <c r="F7" s="42"/>
      <c r="G7" s="39" t="s">
        <v>20</v>
      </c>
      <c r="H7" s="35">
        <f>(((IF('ANTP_2.1.c Insumos'!F68="",'Ref_A.IX.b. Deprec garag equip'!H15,'Ref_A.IX.b. Deprec garag equip'!D15)))*(IF('ANTP_2.1.c Insumos'!F69="",(1/'Ref_A.IX.b. Deprec garag equip'!E10),(1/'ANTP_2.1.c Insumos'!F69)))+(IF('ANTP_2.1.c Insumos'!F71="",'Ref_A.IX.b. Deprec garag equip'!H19,'Ref_A.IX.b. Deprec garag equip'!D19))*(IF('ANTP_2.1.c Insumos'!F72="",(1/'Ref_A.IX.b. Deprec garag equip'!E11),(1/'ANTP_2.1.c Insumos'!F72))))*'ANTP_2.1.b Veículos'!D60*(SUM('ANTP_1.3 Frota Total'!C21:F27))/12</f>
        <v>1532.4653600000001</v>
      </c>
    </row>
    <row r="8" spans="1:20" x14ac:dyDescent="0.2">
      <c r="D8" s="18" t="s">
        <v>550</v>
      </c>
      <c r="E8" s="18" t="s">
        <v>99</v>
      </c>
      <c r="F8" s="42"/>
      <c r="G8" s="39" t="s">
        <v>20</v>
      </c>
      <c r="H8" s="35">
        <f>(IF('ANTP_2.1.c Insumos'!F74="",'Ref_A.IX.b. Deprec garag equip'!H28,'Ref_A.IX.b. Deprec garag equip'!D28))*(IF('ANTP_2.1.c Insumos'!F75="",(1/'Ref_A.IX.b. Deprec garag equip'!E24),(1/IF('ANTP_2.1.c Insumos'!F75=0,'Ref_A.IX.b. Deprec garag equip'!E24,'ANTP_2.1.c Insumos'!F75))))*'ANTP_2.1.b Veículos'!D60*(SUM('ANTP_1.3 Frota Total'!C21:F27))/12</f>
        <v>5428.0599999999995</v>
      </c>
      <c r="P8" s="34"/>
    </row>
    <row r="9" spans="1:20" x14ac:dyDescent="0.2">
      <c r="D9" s="18" t="s">
        <v>551</v>
      </c>
      <c r="E9" s="18" t="s">
        <v>100</v>
      </c>
      <c r="F9" s="42"/>
      <c r="G9" s="39" t="s">
        <v>20</v>
      </c>
      <c r="H9" s="35">
        <f>(('ANTP_2.1.b Veículos'!D19*(1/'Ref_A.IX.b. Deprec garag equip'!E33)*(1-'Ref_A.IX.b. Deprec garag equip'!F33))+('ANTP_2.1.b Veículos'!D20*(1/'Ref_A.IX.b. Deprec garag equip'!E34)*(1-'Ref_A.IX.b. Deprec garag equip'!F34))+('ANTP_2.1.b Veículos'!D21*(1/'Ref_A.IX.b. Deprec garag equip'!E35)*(1-'Ref_A.IX.b. Deprec garag equip'!F35))+('ANTP_2.1.b Veículos'!D22*(1/'Ref_A.IX.b. Deprec garag equip'!E36)*(1-'Ref_A.IX.b. Deprec garag equip'!F36))+('ANTP_2.1.b Veículos'!D23*(1/'Ref_A.IX.b. Deprec garag equip'!E37)*(1-'Ref_A.IX.b. Deprec garag equip'!F37)))/12</f>
        <v>0</v>
      </c>
      <c r="P9" s="34"/>
    </row>
    <row r="10" spans="1:20" x14ac:dyDescent="0.2">
      <c r="D10" s="18" t="s">
        <v>552</v>
      </c>
      <c r="E10" s="18" t="s">
        <v>101</v>
      </c>
      <c r="F10" s="43"/>
      <c r="G10" s="39" t="s">
        <v>20</v>
      </c>
      <c r="H10" s="35">
        <f>IF('ANTP_2.1.c Insumos'!F56=0,0,('ANTP_2.1.c Insumos'!F57/(('ANTP_2.1.c Insumos'!F56)*12)))</f>
        <v>291.66666666666669</v>
      </c>
      <c r="P10" s="34"/>
    </row>
    <row r="11" spans="1:20" x14ac:dyDescent="0.2">
      <c r="F11" s="19"/>
      <c r="G11" s="19"/>
    </row>
    <row r="12" spans="1:20" x14ac:dyDescent="0.2">
      <c r="B12" s="89" t="s">
        <v>553</v>
      </c>
      <c r="C12" s="1139" t="s">
        <v>561</v>
      </c>
      <c r="D12" s="1139"/>
      <c r="E12" s="1140"/>
      <c r="F12" s="40" t="s">
        <v>20</v>
      </c>
      <c r="G12" s="38"/>
      <c r="H12" s="59">
        <f>SUM(H13:H18)</f>
        <v>14937.255838803025</v>
      </c>
      <c r="I12" s="58"/>
      <c r="J12" s="58"/>
      <c r="K12" s="58"/>
      <c r="L12" s="58"/>
      <c r="R12" s="34"/>
      <c r="T12" s="58"/>
    </row>
    <row r="13" spans="1:20" x14ac:dyDescent="0.2">
      <c r="D13" s="18" t="s">
        <v>555</v>
      </c>
      <c r="E13" s="18" t="s">
        <v>102</v>
      </c>
      <c r="F13" s="41"/>
      <c r="G13" s="39" t="s">
        <v>20</v>
      </c>
      <c r="H13" s="35">
        <f>'Ref_A.X.a. Remun. veículos '!G260</f>
        <v>10612.560996969691</v>
      </c>
    </row>
    <row r="14" spans="1:20" x14ac:dyDescent="0.2">
      <c r="D14" s="18" t="s">
        <v>556</v>
      </c>
      <c r="E14" s="18" t="s">
        <v>103</v>
      </c>
      <c r="F14" s="42"/>
      <c r="G14" s="39" t="s">
        <v>20</v>
      </c>
      <c r="H14" s="35">
        <f>'Ref_A.X.b.  Remun garagem equip'!D22</f>
        <v>2552.952698916667</v>
      </c>
    </row>
    <row r="15" spans="1:20" x14ac:dyDescent="0.2">
      <c r="D15" s="18" t="s">
        <v>557</v>
      </c>
      <c r="E15" s="18" t="s">
        <v>104</v>
      </c>
      <c r="F15" s="42"/>
      <c r="G15" s="39" t="s">
        <v>20</v>
      </c>
      <c r="H15" s="35">
        <f>'ANTP_2.1.c Insumos'!F59*'ANTP_2.1. Custo Variável'!E9*('ANTP_2.1.c Insumos'!F64/100)/12</f>
        <v>717.11832500000003</v>
      </c>
      <c r="O15" s="64"/>
    </row>
    <row r="16" spans="1:20" x14ac:dyDescent="0.2">
      <c r="D16" s="18" t="s">
        <v>558</v>
      </c>
      <c r="E16" s="18" t="s">
        <v>105</v>
      </c>
      <c r="F16" s="42"/>
      <c r="G16" s="39" t="s">
        <v>20</v>
      </c>
      <c r="H16" s="35">
        <f>IF('ANTP_2.1.c Insumos'!F74="",('Ref_A.X.c. Remun Eq Bilhet ITS'!D11*('ANTP_2.1.c Insumos'!F64/100)*'ANTP_2.1.b Veículos'!D60*SUM('ANTP_1.3 Frota Total'!C21:F27)/12),('Ref_A.X.c. Remun Eq Bilhet ITS'!D9*('ANTP_2.1.c Insumos'!F64/100)*'ANTP_2.1.b Veículos'!D60*SUM('ANTP_1.3 Frota Total'!C21:F27)/12))</f>
        <v>952.28527625000004</v>
      </c>
      <c r="P16" s="34"/>
    </row>
    <row r="17" spans="2:16" x14ac:dyDescent="0.2">
      <c r="D17" s="18" t="s">
        <v>559</v>
      </c>
      <c r="E17" s="18" t="s">
        <v>106</v>
      </c>
      <c r="F17" s="42"/>
      <c r="G17" s="39" t="s">
        <v>20</v>
      </c>
      <c r="H17" s="35">
        <f>SUM('ANTP_1.3 Frota Total'!C21:F27)*'ANTP_2.1.c Insumos'!F27*('ANTP_2.1.c Insumos'!F64/100)*'Ref_A.X.d. Remun. Vec. Apoio'!D9/12</f>
        <v>0</v>
      </c>
      <c r="P17" s="34"/>
    </row>
    <row r="18" spans="2:16" x14ac:dyDescent="0.2">
      <c r="D18" s="18" t="s">
        <v>560</v>
      </c>
      <c r="E18" s="18" t="s">
        <v>107</v>
      </c>
      <c r="F18" s="43"/>
      <c r="G18" s="39" t="s">
        <v>20</v>
      </c>
      <c r="H18" s="35">
        <f>'ANTP_2.1.c Insumos'!F57*('ANTP_2.1.c Insumos'!F64/100)*'Ref_A.X.e. Remun. Infraes'!C9/12</f>
        <v>102.33854166666667</v>
      </c>
      <c r="P18" s="34"/>
    </row>
    <row r="19" spans="2:16" x14ac:dyDescent="0.2">
      <c r="F19" s="19"/>
      <c r="G19" s="19"/>
    </row>
    <row r="20" spans="2:16" x14ac:dyDescent="0.2">
      <c r="B20" s="89" t="s">
        <v>563</v>
      </c>
      <c r="C20" s="1139" t="s">
        <v>562</v>
      </c>
      <c r="D20" s="1139"/>
      <c r="E20" s="1140"/>
      <c r="F20" s="40" t="s">
        <v>20</v>
      </c>
      <c r="G20" s="38"/>
      <c r="H20" s="37">
        <f>SUM(H21:H22)</f>
        <v>114781.2138833699</v>
      </c>
    </row>
    <row r="21" spans="2:16" x14ac:dyDescent="0.2">
      <c r="D21" s="18" t="s">
        <v>564</v>
      </c>
      <c r="E21" s="18" t="s">
        <v>108</v>
      </c>
      <c r="F21" s="41"/>
      <c r="G21" s="39" t="s">
        <v>20</v>
      </c>
      <c r="H21" s="35">
        <f>(((('ANTP_2.1.c Insumos'!F30*'ANTP_2.1.c Insumos'!F38)+('ANTP_2.1.c Insumos'!F31*'ANTP_2.1.c Insumos'!F39)+('ANTP_2.1.c Insumos'!F32*'ANTP_2.1.c Insumos'!F40)+('ANTP_2.1.c Insumos'!F33*'ANTP_2.1.c Insumos'!F41))*((1+('ANTP_2.1.c Insumos'!F46/100)))+(('ANTP_2.1.c Insumos'!F34*'ANTP_2.1.c Insumos'!F42)+('ANTP_2.1.c Insumos'!F35*'ANTP_2.1.c Insumos'!F43)+('ANTP_2.1.c Insumos'!F36*'ANTP_2.1.c Insumos'!F44)+('ANTP_2.1.c Insumos'!F37*'ANTP_2.1.c Insumos'!F45)))*'ANTP_1.4 Indicadores'!E19)</f>
        <v>74533.255768422008</v>
      </c>
      <c r="N21" s="56"/>
      <c r="P21" s="55"/>
    </row>
    <row r="22" spans="2:16" x14ac:dyDescent="0.2">
      <c r="D22" s="18" t="s">
        <v>565</v>
      </c>
      <c r="E22" s="18" t="s">
        <v>109</v>
      </c>
      <c r="F22" s="43"/>
      <c r="G22" s="39" t="s">
        <v>20</v>
      </c>
      <c r="H22" s="35">
        <f>H21*('ANTP_2.1.c Insumos'!F47/100)</f>
        <v>40247.958114947884</v>
      </c>
    </row>
    <row r="23" spans="2:16" x14ac:dyDescent="0.2">
      <c r="F23" s="19"/>
      <c r="G23" s="19"/>
      <c r="N23" s="55"/>
    </row>
    <row r="24" spans="2:16" x14ac:dyDescent="0.2">
      <c r="B24" s="26" t="s">
        <v>566</v>
      </c>
      <c r="C24" s="1139" t="s">
        <v>94</v>
      </c>
      <c r="D24" s="1139"/>
      <c r="E24" s="1140"/>
      <c r="F24" s="40" t="s">
        <v>20</v>
      </c>
      <c r="G24" s="38"/>
      <c r="H24" s="37">
        <f>SUM(H25:H29)</f>
        <v>15484.559166666668</v>
      </c>
    </row>
    <row r="25" spans="2:16" x14ac:dyDescent="0.2">
      <c r="D25" s="18" t="s">
        <v>567</v>
      </c>
      <c r="E25" s="18" t="s">
        <v>110</v>
      </c>
      <c r="F25" s="41"/>
      <c r="G25" s="39" t="s">
        <v>20</v>
      </c>
      <c r="H25" s="35">
        <f>'ANTP_2.1.c Insumos'!F89/12</f>
        <v>8266.6666666666661</v>
      </c>
    </row>
    <row r="26" spans="2:16" x14ac:dyDescent="0.2">
      <c r="D26" s="18" t="s">
        <v>568</v>
      </c>
      <c r="E26" s="18" t="s">
        <v>111</v>
      </c>
      <c r="F26" s="42"/>
      <c r="G26" s="39" t="s">
        <v>20</v>
      </c>
      <c r="H26" s="35">
        <f>('ANTP_2.1.c Insumos'!F50+'ANTP_2.1.c Insumos'!F51)*SUM('ANTP_1.3 Frota Total'!C21:F27)/12</f>
        <v>195.99249999999998</v>
      </c>
    </row>
    <row r="27" spans="2:16" x14ac:dyDescent="0.2">
      <c r="D27" s="18" t="s">
        <v>569</v>
      </c>
      <c r="E27" s="18" t="s">
        <v>112</v>
      </c>
      <c r="F27" s="42"/>
      <c r="G27" s="39" t="s">
        <v>20</v>
      </c>
      <c r="H27" s="35">
        <f>'ANTP_2.1.c Insumos'!F52/12</f>
        <v>2200</v>
      </c>
    </row>
    <row r="28" spans="2:16" x14ac:dyDescent="0.2">
      <c r="D28" s="18" t="s">
        <v>570</v>
      </c>
      <c r="E28" s="18" t="s">
        <v>113</v>
      </c>
      <c r="F28" s="42"/>
      <c r="G28" s="39" t="s">
        <v>20</v>
      </c>
      <c r="H28" s="35">
        <f>'ANTP_2.1.c Insumos'!F53/12</f>
        <v>1021.9000000000009</v>
      </c>
    </row>
    <row r="29" spans="2:16" x14ac:dyDescent="0.2">
      <c r="D29" s="18" t="s">
        <v>571</v>
      </c>
      <c r="E29" s="18" t="s">
        <v>576</v>
      </c>
      <c r="F29" s="43"/>
      <c r="G29" s="39" t="s">
        <v>20</v>
      </c>
      <c r="H29" s="35">
        <f>'ANTP_2.1.c Insumos'!F79</f>
        <v>3800</v>
      </c>
    </row>
    <row r="30" spans="2:16" x14ac:dyDescent="0.2">
      <c r="F30" s="19"/>
      <c r="G30" s="19"/>
    </row>
    <row r="31" spans="2:16" s="44" customFormat="1" x14ac:dyDescent="0.2"/>
    <row r="32" spans="2:16" x14ac:dyDescent="0.2">
      <c r="B32" s="89" t="s">
        <v>572</v>
      </c>
      <c r="C32" s="1139" t="s">
        <v>95</v>
      </c>
      <c r="D32" s="1139"/>
      <c r="E32" s="1140"/>
      <c r="F32" s="36" t="s">
        <v>20</v>
      </c>
      <c r="G32" s="38"/>
      <c r="H32" s="37">
        <f>(1/12)*(('ANTP_2.1.c Insumos'!F80*SUM('ANTP_1.3 Frota Total'!C21:F27))+('ANTP_2.1.c Insumos'!F81*'ANTP_2.1.c Insumos'!F82))</f>
        <v>2527.7999999999997</v>
      </c>
    </row>
    <row r="33" spans="2:8" x14ac:dyDescent="0.2">
      <c r="B33" s="89" t="s">
        <v>573</v>
      </c>
      <c r="C33" s="1139" t="s">
        <v>96</v>
      </c>
      <c r="D33" s="1139"/>
      <c r="E33" s="1140"/>
      <c r="F33" s="36" t="s">
        <v>20</v>
      </c>
      <c r="G33" s="38"/>
      <c r="H33" s="37">
        <f>'ANTP_2.1.c Insumos'!F83</f>
        <v>0</v>
      </c>
    </row>
    <row r="34" spans="2:8" s="44" customFormat="1" x14ac:dyDescent="0.2">
      <c r="B34" s="90" t="s">
        <v>574</v>
      </c>
      <c r="C34" s="91" t="s">
        <v>575</v>
      </c>
      <c r="D34" s="92"/>
      <c r="E34" s="92"/>
      <c r="F34" s="36" t="s">
        <v>20</v>
      </c>
      <c r="G34" s="38"/>
      <c r="H34" s="37">
        <f>'ANTP_2.1.c Insumos'!F84</f>
        <v>2900</v>
      </c>
    </row>
    <row r="38" spans="2:8" x14ac:dyDescent="0.2">
      <c r="B38" s="90"/>
      <c r="C38" s="27"/>
      <c r="D38" s="27"/>
    </row>
    <row r="66" spans="12:12" ht="15" x14ac:dyDescent="0.25">
      <c r="L66" s="60"/>
    </row>
  </sheetData>
  <sheetProtection algorithmName="SHA-512" hashValue="/Yiu+lmp/+vidi/glazDYzp0BIoM6SdYG2DP9PI0cplntg3XyPEabpTpSqBd+O5kVf0F0rwE4zVxmVW8I+xSeQ==" saltValue="381XnbtBDVMXklBCQKNTcQ==" spinCount="100000" sheet="1" objects="1" scenarios="1"/>
  <mergeCells count="7">
    <mergeCell ref="B3:E3"/>
    <mergeCell ref="C32:E32"/>
    <mergeCell ref="C33:E33"/>
    <mergeCell ref="C24:E24"/>
    <mergeCell ref="C20:E20"/>
    <mergeCell ref="C12:E12"/>
    <mergeCell ref="C5:E5"/>
  </mergeCells>
  <pageMargins left="0.511811024" right="0.511811024" top="0.78740157499999996" bottom="0.78740157499999996" header="0.31496062000000002" footer="0.31496062000000002"/>
  <pageSetup paperSize="9" scale="94" orientation="portrait" r:id="rId1"/>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L55"/>
  <sheetViews>
    <sheetView view="pageBreakPreview" zoomScaleNormal="100" zoomScaleSheetLayoutView="100" workbookViewId="0"/>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6.42578125" style="34" bestFit="1" customWidth="1"/>
    <col min="9" max="9" width="11.42578125" customWidth="1"/>
    <col min="10" max="10" width="1.7109375" customWidth="1"/>
    <col min="11" max="11" width="11.42578125" customWidth="1"/>
    <col min="12" max="12" width="38.7109375" bestFit="1" customWidth="1"/>
    <col min="13" max="13" width="1.28515625" customWidth="1"/>
  </cols>
  <sheetData>
    <row r="1" spans="1:8" ht="15" x14ac:dyDescent="0.25">
      <c r="B1" s="560" t="s">
        <v>1182</v>
      </c>
    </row>
    <row r="3" spans="1:8" x14ac:dyDescent="0.2">
      <c r="A3" s="26" t="s">
        <v>577</v>
      </c>
      <c r="B3" s="1139" t="s">
        <v>186</v>
      </c>
      <c r="C3" s="1139"/>
      <c r="D3" s="1139"/>
      <c r="E3" s="1139"/>
      <c r="F3" s="45" t="s">
        <v>20</v>
      </c>
      <c r="G3" s="46"/>
      <c r="H3" s="47">
        <f>(H5+H7)*('ANTP_2.1.c Insumos'!F87/100)</f>
        <v>11133.560461445757</v>
      </c>
    </row>
    <row r="5" spans="1:8" x14ac:dyDescent="0.2">
      <c r="B5" s="26" t="s">
        <v>578</v>
      </c>
      <c r="C5" s="1139" t="s">
        <v>184</v>
      </c>
      <c r="D5" s="1139"/>
      <c r="E5" s="1140"/>
      <c r="F5" s="40" t="s">
        <v>20</v>
      </c>
      <c r="G5" s="38"/>
      <c r="H5" s="37">
        <f>'ANTP_2.1. Custo Variável'!E3</f>
        <v>204012.0956464</v>
      </c>
    </row>
    <row r="6" spans="1:8" x14ac:dyDescent="0.2">
      <c r="F6" s="19"/>
      <c r="G6" s="19"/>
    </row>
    <row r="7" spans="1:8" x14ac:dyDescent="0.2">
      <c r="B7" s="26" t="s">
        <v>579</v>
      </c>
      <c r="C7" s="1139" t="s">
        <v>185</v>
      </c>
      <c r="D7" s="1139"/>
      <c r="E7" s="1140"/>
      <c r="F7" s="40" t="s">
        <v>20</v>
      </c>
      <c r="G7" s="38"/>
      <c r="H7" s="37">
        <f>'ANTP_2.2 Custo Fixo'!H3</f>
        <v>190795.01291550623</v>
      </c>
    </row>
    <row r="8" spans="1:8" x14ac:dyDescent="0.2">
      <c r="F8" s="19"/>
      <c r="G8" s="19"/>
    </row>
    <row r="9" spans="1:8" x14ac:dyDescent="0.2">
      <c r="F9" s="19"/>
      <c r="G9" s="19"/>
    </row>
    <row r="19" spans="2:8" s="44" customFormat="1" ht="30" customHeight="1" x14ac:dyDescent="0.2">
      <c r="B19" s="18"/>
      <c r="C19" s="18"/>
      <c r="D19" s="18"/>
      <c r="E19" s="18"/>
      <c r="F19" s="20"/>
      <c r="G19" s="20"/>
      <c r="H19" s="34"/>
    </row>
    <row r="55" spans="12:12" ht="15" x14ac:dyDescent="0.25">
      <c r="L55" s="60"/>
    </row>
  </sheetData>
  <sheetProtection algorithmName="SHA-512" hashValue="HgW/vdhyoaIXgBwFCwCk+dBgpZSOWHIIfpAMXTjOCdea7vv5mrRs5G7mWBMQUnIMRUEKjXRaNvXVxHst/cn84g==" saltValue="BlI6CY51CItFfnfXR4vx5w==" spinCount="100000" sheet="1" objects="1" scenarios="1"/>
  <mergeCells count="3">
    <mergeCell ref="B3:E3"/>
    <mergeCell ref="C5:E5"/>
    <mergeCell ref="C7:E7"/>
  </mergeCells>
  <pageMargins left="0.511811024" right="0.511811024" top="0.78740157499999996" bottom="0.78740157499999996" header="0.31496062000000002" footer="0.31496062000000002"/>
  <pageSetup paperSize="9" scale="94" orientation="portrait" r:id="rId1"/>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sheetPr>
  <dimension ref="A1:Q55"/>
  <sheetViews>
    <sheetView view="pageBreakPreview" zoomScale="85" zoomScaleNormal="100" zoomScaleSheetLayoutView="85" workbookViewId="0"/>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6.42578125" style="34" bestFit="1" customWidth="1"/>
    <col min="9" max="9" width="11.42578125" customWidth="1"/>
    <col min="10" max="10" width="1.7109375" customWidth="1"/>
    <col min="11" max="11" width="11.42578125" customWidth="1"/>
    <col min="12" max="12" width="38.7109375" bestFit="1" customWidth="1"/>
    <col min="13" max="13" width="1.28515625" customWidth="1"/>
    <col min="14" max="14" width="11.42578125" customWidth="1"/>
    <col min="15" max="15" width="16.28515625" bestFit="1" customWidth="1"/>
    <col min="16" max="16" width="11.42578125" customWidth="1"/>
    <col min="17" max="17" width="14" bestFit="1" customWidth="1"/>
  </cols>
  <sheetData>
    <row r="1" spans="1:17" ht="15" x14ac:dyDescent="0.25">
      <c r="B1" s="560" t="s">
        <v>1182</v>
      </c>
    </row>
    <row r="3" spans="1:17" x14ac:dyDescent="0.2">
      <c r="A3" s="89" t="s">
        <v>581</v>
      </c>
      <c r="B3" s="1139" t="s">
        <v>194</v>
      </c>
      <c r="C3" s="1139"/>
      <c r="D3" s="1139"/>
      <c r="E3" s="1139"/>
      <c r="F3" s="45" t="s">
        <v>20</v>
      </c>
      <c r="G3" s="46"/>
      <c r="H3" s="47">
        <f>(H5+H7+H9)/(1-H11)</f>
        <v>431851.77555675752</v>
      </c>
      <c r="O3" s="64"/>
      <c r="Q3" s="63"/>
    </row>
    <row r="5" spans="1:17" x14ac:dyDescent="0.2">
      <c r="B5" s="89" t="s">
        <v>540</v>
      </c>
      <c r="C5" s="1139" t="s">
        <v>184</v>
      </c>
      <c r="D5" s="1139"/>
      <c r="E5" s="1140"/>
      <c r="F5" s="40" t="s">
        <v>20</v>
      </c>
      <c r="G5" s="38"/>
      <c r="H5" s="37">
        <f>'ANTP_2.1. Custo Variável'!E3</f>
        <v>204012.0956464</v>
      </c>
    </row>
    <row r="6" spans="1:17" x14ac:dyDescent="0.2">
      <c r="B6" s="93"/>
      <c r="F6" s="19"/>
      <c r="G6" s="19"/>
    </row>
    <row r="7" spans="1:17" x14ac:dyDescent="0.2">
      <c r="B7" s="89" t="s">
        <v>547</v>
      </c>
      <c r="C7" s="1139" t="s">
        <v>185</v>
      </c>
      <c r="D7" s="1139"/>
      <c r="E7" s="1140"/>
      <c r="F7" s="40" t="s">
        <v>20</v>
      </c>
      <c r="G7" s="38"/>
      <c r="H7" s="37">
        <f>'ANTP_2.2 Custo Fixo'!H3</f>
        <v>190795.01291550623</v>
      </c>
    </row>
    <row r="8" spans="1:17" x14ac:dyDescent="0.2">
      <c r="B8" s="93"/>
      <c r="F8" s="19"/>
      <c r="G8" s="19"/>
    </row>
    <row r="9" spans="1:17" x14ac:dyDescent="0.2">
      <c r="B9" s="89" t="s">
        <v>577</v>
      </c>
      <c r="C9" s="1139" t="s">
        <v>186</v>
      </c>
      <c r="D9" s="1139"/>
      <c r="E9" s="1140"/>
      <c r="F9" s="40" t="s">
        <v>20</v>
      </c>
      <c r="G9" s="38"/>
      <c r="H9" s="37">
        <f>'ANTP_2.3 RPS'!H3</f>
        <v>11133.560461445757</v>
      </c>
    </row>
    <row r="10" spans="1:17" x14ac:dyDescent="0.2">
      <c r="B10" s="93"/>
      <c r="F10" s="19"/>
      <c r="G10" s="19"/>
    </row>
    <row r="11" spans="1:17" x14ac:dyDescent="0.2">
      <c r="B11" s="89" t="s">
        <v>580</v>
      </c>
      <c r="C11" s="1139" t="s">
        <v>747</v>
      </c>
      <c r="D11" s="1139"/>
      <c r="E11" s="1140"/>
      <c r="F11" s="40"/>
      <c r="G11" s="38"/>
      <c r="H11" s="50">
        <f>SUM('ANTP_2.1.c Insumos'!F92:F98)/100</f>
        <v>0.06</v>
      </c>
    </row>
    <row r="19" spans="2:8" s="44" customFormat="1" ht="30" customHeight="1" x14ac:dyDescent="0.2">
      <c r="B19" s="18"/>
      <c r="C19" s="18"/>
      <c r="D19" s="18"/>
      <c r="E19" s="18"/>
      <c r="F19" s="20"/>
      <c r="G19" s="20"/>
      <c r="H19" s="34"/>
    </row>
    <row r="55" spans="12:12" ht="15" x14ac:dyDescent="0.25">
      <c r="L55" s="60"/>
    </row>
  </sheetData>
  <sheetProtection algorithmName="SHA-512" hashValue="H249u/wvE4xV3u/Fd5KxMS8dtKXMQC1he/GFMqKeP+lvInLx+N8G1EL7+/OieHqUHbjH2iqjNJWZ0S7n88LYmw==" saltValue="jGbgBh5TA15MdIqja8+V/w==" spinCount="100000" sheet="1" objects="1" scenarios="1"/>
  <mergeCells count="5">
    <mergeCell ref="C11:E11"/>
    <mergeCell ref="B3:E3"/>
    <mergeCell ref="C5:E5"/>
    <mergeCell ref="C7:E7"/>
    <mergeCell ref="C9:E9"/>
  </mergeCells>
  <pageMargins left="0.511811024" right="0.511811024" top="0.78740157499999996" bottom="0.78740157499999996" header="0.31496062000000002" footer="0.31496062000000002"/>
  <pageSetup paperSize="9" scale="94" orientation="portrait" r:id="rId1"/>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sheetPr>
  <dimension ref="A1:P55"/>
  <sheetViews>
    <sheetView view="pageBreakPreview" zoomScaleNormal="100" zoomScaleSheetLayoutView="100" workbookViewId="0">
      <selection activeCell="H7" sqref="H7"/>
    </sheetView>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6.42578125" style="34"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ht="15" x14ac:dyDescent="0.25">
      <c r="B1" s="560" t="s">
        <v>1182</v>
      </c>
    </row>
    <row r="3" spans="1:16" x14ac:dyDescent="0.2">
      <c r="A3" s="26" t="s">
        <v>876</v>
      </c>
      <c r="B3" s="1139" t="s">
        <v>877</v>
      </c>
      <c r="C3" s="1139"/>
      <c r="D3" s="1139"/>
      <c r="E3" s="1139"/>
      <c r="F3" s="45" t="s">
        <v>20</v>
      </c>
      <c r="G3" s="46"/>
      <c r="H3" s="57">
        <f>H5/H7</f>
        <v>21.715280110461986</v>
      </c>
      <c r="P3" s="65"/>
    </row>
    <row r="5" spans="1:16" x14ac:dyDescent="0.2">
      <c r="B5" s="26" t="s">
        <v>731</v>
      </c>
      <c r="C5" s="1139" t="s">
        <v>199</v>
      </c>
      <c r="D5" s="1139"/>
      <c r="E5" s="1140"/>
      <c r="F5" s="40" t="s">
        <v>20</v>
      </c>
      <c r="G5" s="38"/>
      <c r="H5" s="37">
        <f>'ANTP_4. Custo Total'!H3</f>
        <v>431851.77555675752</v>
      </c>
      <c r="P5" s="64"/>
    </row>
    <row r="6" spans="1:16" x14ac:dyDescent="0.2">
      <c r="F6" s="19"/>
      <c r="G6" s="19"/>
    </row>
    <row r="7" spans="1:16" x14ac:dyDescent="0.2">
      <c r="B7" s="26" t="s">
        <v>732</v>
      </c>
      <c r="C7" s="1139" t="s">
        <v>878</v>
      </c>
      <c r="D7" s="1139"/>
      <c r="E7" s="1140"/>
      <c r="F7" s="40"/>
      <c r="G7" s="38"/>
      <c r="H7" s="170">
        <f>'ANTP_1.1. Passageiros'!D13</f>
        <v>19887</v>
      </c>
      <c r="P7" s="34"/>
    </row>
    <row r="8" spans="1:16" x14ac:dyDescent="0.2">
      <c r="F8" s="19"/>
      <c r="G8" s="19"/>
    </row>
    <row r="20" spans="2:8" s="44" customFormat="1" ht="30" customHeight="1" x14ac:dyDescent="0.2">
      <c r="B20" s="18"/>
      <c r="C20" s="18"/>
      <c r="D20" s="18"/>
      <c r="E20" s="18"/>
      <c r="F20" s="20"/>
      <c r="G20" s="20"/>
      <c r="H20" s="34"/>
    </row>
    <row r="55" spans="12:12" ht="15" x14ac:dyDescent="0.25">
      <c r="L55" s="60"/>
    </row>
  </sheetData>
  <sheetProtection algorithmName="SHA-512" hashValue="tD1ItDaCCzfMfWUHfR1fkvjZDZv4xYVXi6IjC4P0B3DtbAOGIpGwaJLmdQqAKkXviQKfDDPMtE8oeB+CKCR9Dw==" saltValue="0zlAfv6jLPhk5cY1V218mA==" spinCount="100000" sheet="1" objects="1" scenarios="1"/>
  <mergeCells count="3">
    <mergeCell ref="B3:E3"/>
    <mergeCell ref="C5:E5"/>
    <mergeCell ref="C7:E7"/>
  </mergeCells>
  <pageMargins left="0.511811024" right="0.511811024" top="0.78740157499999996" bottom="0.78740157499999996" header="0.31496062000000002" footer="0.31496062000000002"/>
  <pageSetup paperSize="9" scale="94" orientation="portrait" r:id="rId1"/>
  <colBreaks count="1" manualBreakCount="1">
    <brk id="8"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sheetPr>
  <dimension ref="A1:P55"/>
  <sheetViews>
    <sheetView view="pageBreakPreview" zoomScaleNormal="100" zoomScaleSheetLayoutView="100" workbookViewId="0">
      <selection activeCell="B3" sqref="B3:E3"/>
    </sheetView>
  </sheetViews>
  <sheetFormatPr defaultColWidth="11.42578125" defaultRowHeight="12.75" x14ac:dyDescent="0.2"/>
  <cols>
    <col min="1" max="1" width="5.28515625" bestFit="1" customWidth="1"/>
    <col min="2" max="2" width="6.140625" style="18" customWidth="1"/>
    <col min="3" max="3" width="3.7109375" style="18" customWidth="1"/>
    <col min="4" max="4" width="7.85546875" style="18" bestFit="1" customWidth="1"/>
    <col min="5" max="5" width="53.7109375" style="18" customWidth="1"/>
    <col min="6" max="6" width="3.28515625" style="20" bestFit="1" customWidth="1"/>
    <col min="7" max="7" width="3.28515625" style="20" customWidth="1"/>
    <col min="8" max="8" width="16.42578125" style="34" bestFit="1" customWidth="1"/>
    <col min="9" max="9" width="11.42578125" customWidth="1"/>
    <col min="10" max="10" width="1.7109375" customWidth="1"/>
    <col min="11" max="11" width="11.42578125" customWidth="1"/>
    <col min="12" max="12" width="38.7109375" bestFit="1" customWidth="1"/>
    <col min="13" max="13" width="1.28515625" customWidth="1"/>
    <col min="14" max="15" width="11.42578125" customWidth="1"/>
    <col min="16" max="16" width="16.28515625" bestFit="1" customWidth="1"/>
  </cols>
  <sheetData>
    <row r="1" spans="1:16" ht="15" x14ac:dyDescent="0.25">
      <c r="B1" s="560" t="s">
        <v>1182</v>
      </c>
    </row>
    <row r="3" spans="1:16" x14ac:dyDescent="0.2">
      <c r="A3" s="26" t="s">
        <v>728</v>
      </c>
      <c r="B3" s="1139" t="s">
        <v>1423</v>
      </c>
      <c r="C3" s="1139"/>
      <c r="D3" s="1139"/>
      <c r="E3" s="1139"/>
      <c r="F3" s="45" t="s">
        <v>20</v>
      </c>
      <c r="G3" s="46"/>
      <c r="H3" s="47">
        <f>(H5-H9)/H7</f>
        <v>21.511156477423643</v>
      </c>
      <c r="P3" s="65"/>
    </row>
    <row r="5" spans="1:16" x14ac:dyDescent="0.2">
      <c r="B5" s="26" t="s">
        <v>729</v>
      </c>
      <c r="C5" s="1139" t="s">
        <v>199</v>
      </c>
      <c r="D5" s="1139"/>
      <c r="E5" s="1140"/>
      <c r="F5" s="40" t="s">
        <v>20</v>
      </c>
      <c r="G5" s="38"/>
      <c r="H5" s="37">
        <f>'ANTP_4. Custo Total'!H3</f>
        <v>431851.77555675752</v>
      </c>
      <c r="P5" s="64"/>
    </row>
    <row r="6" spans="1:16" x14ac:dyDescent="0.2">
      <c r="F6" s="19"/>
      <c r="G6" s="19"/>
    </row>
    <row r="7" spans="1:16" x14ac:dyDescent="0.2">
      <c r="B7" s="26" t="s">
        <v>730</v>
      </c>
      <c r="C7" s="1139" t="s">
        <v>200</v>
      </c>
      <c r="D7" s="1139"/>
      <c r="E7" s="1140"/>
      <c r="F7" s="40"/>
      <c r="G7" s="38"/>
      <c r="H7" s="170">
        <f>'ANTP_1.4 Indicadores'!E10</f>
        <v>19887</v>
      </c>
      <c r="P7" s="34"/>
    </row>
    <row r="8" spans="1:16" x14ac:dyDescent="0.2">
      <c r="F8" s="19"/>
      <c r="G8" s="19"/>
    </row>
    <row r="9" spans="1:16" x14ac:dyDescent="0.2">
      <c r="B9" s="26" t="s">
        <v>733</v>
      </c>
      <c r="C9" s="1139" t="s">
        <v>1067</v>
      </c>
      <c r="D9" s="1139"/>
      <c r="E9" s="1140"/>
      <c r="F9" s="40" t="s">
        <v>20</v>
      </c>
      <c r="G9" s="38"/>
      <c r="H9" s="37">
        <f>'ANTP_2.1.c Insumos'!F101</f>
        <v>4059.4066902335203</v>
      </c>
    </row>
    <row r="20" spans="2:8" s="44" customFormat="1" ht="30" customHeight="1" x14ac:dyDescent="0.2">
      <c r="B20" s="18"/>
      <c r="C20" s="18"/>
      <c r="D20" s="18"/>
      <c r="E20" s="18"/>
      <c r="F20" s="20"/>
      <c r="G20" s="20"/>
      <c r="H20" s="34"/>
    </row>
    <row r="55" spans="12:12" ht="15" x14ac:dyDescent="0.25">
      <c r="L55" s="60"/>
    </row>
  </sheetData>
  <sheetProtection algorithmName="SHA-512" hashValue="LdduBPVE7mQHJSFGXukl22HOeGtIgS3OB5XK0cWlPpGuseeLCl+K0DXVedLJKNIuAsGdt63AJ8kIidvzQyYknw==" saltValue="nXX9nxuWL6LUc50uYzw1lg==" spinCount="100000" sheet="1" objects="1" scenarios="1"/>
  <mergeCells count="4">
    <mergeCell ref="B3:E3"/>
    <mergeCell ref="C5:E5"/>
    <mergeCell ref="C7:E7"/>
    <mergeCell ref="C9:E9"/>
  </mergeCells>
  <pageMargins left="0.511811024" right="0.511811024" top="0.78740157499999996" bottom="0.78740157499999996" header="0.31496062000000002" footer="0.31496062000000002"/>
  <pageSetup paperSize="9" scale="94" orientation="portrait" r:id="rId1"/>
  <colBreaks count="1" manualBreakCount="1">
    <brk id="8"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1:D17"/>
  <sheetViews>
    <sheetView workbookViewId="0">
      <selection activeCell="C4" sqref="C4"/>
    </sheetView>
  </sheetViews>
  <sheetFormatPr defaultRowHeight="12.75" x14ac:dyDescent="0.2"/>
  <cols>
    <col min="1" max="1" width="14.85546875" customWidth="1"/>
    <col min="2" max="2" width="23.85546875" customWidth="1"/>
    <col min="3" max="3" width="14.28515625" customWidth="1"/>
    <col min="4" max="4" width="16.7109375" customWidth="1"/>
    <col min="9" max="9" width="38.7109375" bestFit="1" customWidth="1"/>
  </cols>
  <sheetData>
    <row r="1" spans="1:4" ht="15" x14ac:dyDescent="0.25">
      <c r="B1" s="560" t="s">
        <v>1182</v>
      </c>
    </row>
    <row r="3" spans="1:4" ht="15" x14ac:dyDescent="0.25">
      <c r="A3" s="12" t="s">
        <v>839</v>
      </c>
    </row>
    <row r="5" spans="1:4" ht="15" x14ac:dyDescent="0.25">
      <c r="A5" s="94" t="s">
        <v>844</v>
      </c>
    </row>
    <row r="6" spans="1:4" ht="15" x14ac:dyDescent="0.25">
      <c r="A6" s="94"/>
    </row>
    <row r="7" spans="1:4" ht="20.25" thickBot="1" x14ac:dyDescent="0.25">
      <c r="A7" s="1154"/>
      <c r="B7" s="1155"/>
      <c r="C7" s="124" t="s">
        <v>845</v>
      </c>
      <c r="D7" s="124" t="s">
        <v>846</v>
      </c>
    </row>
    <row r="8" spans="1:4" ht="16.5" thickBot="1" x14ac:dyDescent="0.25">
      <c r="A8" s="126"/>
      <c r="B8" s="127" t="s">
        <v>842</v>
      </c>
      <c r="C8" s="130">
        <v>0.24</v>
      </c>
      <c r="D8" s="130">
        <v>0.28999999999999998</v>
      </c>
    </row>
    <row r="9" spans="1:4" ht="16.5" thickBot="1" x14ac:dyDescent="0.25">
      <c r="A9" s="126"/>
      <c r="B9" s="127" t="s">
        <v>12</v>
      </c>
      <c r="C9" s="130">
        <v>0.3</v>
      </c>
      <c r="D9" s="130">
        <v>0.34</v>
      </c>
    </row>
    <row r="10" spans="1:4" ht="16.5" thickBot="1" x14ac:dyDescent="0.25">
      <c r="A10" s="126" t="s">
        <v>114</v>
      </c>
      <c r="B10" s="127" t="s">
        <v>13</v>
      </c>
      <c r="C10" s="130">
        <v>0.34</v>
      </c>
      <c r="D10" s="130">
        <v>0.38</v>
      </c>
    </row>
    <row r="11" spans="1:4" ht="16.5" thickBot="1" x14ac:dyDescent="0.25">
      <c r="A11" s="126" t="s">
        <v>840</v>
      </c>
      <c r="B11" s="127" t="s">
        <v>14</v>
      </c>
      <c r="C11" s="130">
        <v>0.37</v>
      </c>
      <c r="D11" s="130">
        <v>0.45</v>
      </c>
    </row>
    <row r="12" spans="1:4" ht="16.5" thickBot="1" x14ac:dyDescent="0.25">
      <c r="A12" s="126" t="s">
        <v>841</v>
      </c>
      <c r="B12" s="127" t="s">
        <v>15</v>
      </c>
      <c r="C12" s="130">
        <v>0.45</v>
      </c>
      <c r="D12" s="130">
        <v>0.65</v>
      </c>
    </row>
    <row r="13" spans="1:4" ht="16.5" thickBot="1" x14ac:dyDescent="0.25">
      <c r="A13" s="128"/>
      <c r="B13" s="127" t="s">
        <v>16</v>
      </c>
      <c r="C13" s="130">
        <v>0.65</v>
      </c>
      <c r="D13" s="130">
        <v>0.85</v>
      </c>
    </row>
    <row r="14" spans="1:4" ht="16.5" thickBot="1" x14ac:dyDescent="0.25">
      <c r="A14" s="129"/>
      <c r="B14" s="127" t="s">
        <v>17</v>
      </c>
      <c r="C14" s="130">
        <v>0.86</v>
      </c>
      <c r="D14" s="130">
        <v>0.95</v>
      </c>
    </row>
    <row r="17" spans="1:1" x14ac:dyDescent="0.2">
      <c r="A17" s="125" t="s">
        <v>843</v>
      </c>
    </row>
  </sheetData>
  <sheetProtection algorithmName="SHA-512" hashValue="MIUCQ2vnJ8sXkb9A+j6WRl8tGXS/0zqNXLeKNh/wykRHGkWMj5qvQfUYZlUNjsDs8ukb4YUecbOz0x/lnNpR4Q==" saltValue="mqmu9+2nziWFRxbPHAqLWA==" spinCount="100000" sheet="1" selectLockedCells="1"/>
  <mergeCells count="1">
    <mergeCell ref="A7:B7"/>
  </mergeCells>
  <pageMargins left="0.511811024" right="0.511811024" top="0.78740157499999996" bottom="0.78740157499999996" header="0.31496062000000002" footer="0.31496062000000002"/>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39997558519241921"/>
  </sheetPr>
  <dimension ref="A1:I9"/>
  <sheetViews>
    <sheetView workbookViewId="0"/>
  </sheetViews>
  <sheetFormatPr defaultRowHeight="12.75" x14ac:dyDescent="0.2"/>
  <cols>
    <col min="1" max="1" width="27.42578125" customWidth="1"/>
    <col min="2" max="8" width="9.140625" customWidth="1"/>
    <col min="9" max="9" width="31.140625" customWidth="1"/>
  </cols>
  <sheetData>
    <row r="1" spans="1:9" ht="15" x14ac:dyDescent="0.25">
      <c r="B1" s="560" t="s">
        <v>1182</v>
      </c>
    </row>
    <row r="3" spans="1:9" ht="15" x14ac:dyDescent="0.25">
      <c r="A3" s="12" t="s">
        <v>582</v>
      </c>
    </row>
    <row r="5" spans="1:9" ht="15.75" customHeight="1" x14ac:dyDescent="0.25">
      <c r="A5" s="94" t="s">
        <v>668</v>
      </c>
    </row>
    <row r="6" spans="1:9" ht="15.75" customHeight="1" x14ac:dyDescent="0.25">
      <c r="A6" s="94"/>
      <c r="I6" s="20"/>
    </row>
    <row r="7" spans="1:9" ht="16.5" customHeight="1" x14ac:dyDescent="0.2">
      <c r="A7" s="1156" t="s">
        <v>214</v>
      </c>
      <c r="B7" s="1156"/>
      <c r="C7" s="1156"/>
      <c r="D7" s="1158" t="s">
        <v>239</v>
      </c>
      <c r="E7" s="1160" t="s">
        <v>240</v>
      </c>
    </row>
    <row r="8" spans="1:9" x14ac:dyDescent="0.2">
      <c r="A8" s="1156"/>
      <c r="B8" s="1156"/>
      <c r="C8" s="1156"/>
      <c r="D8" s="1159"/>
      <c r="E8" s="1161"/>
    </row>
    <row r="9" spans="1:9" ht="15.75" x14ac:dyDescent="0.2">
      <c r="A9" s="1156"/>
      <c r="B9" s="1156"/>
      <c r="C9" s="1157"/>
      <c r="D9" s="95">
        <v>2.6499999999999999E-2</v>
      </c>
      <c r="E9" s="95" t="s">
        <v>215</v>
      </c>
    </row>
  </sheetData>
  <sheetProtection algorithmName="SHA-512" hashValue="fqtXiiZ5cqjOKEiOyQfF2sYJFUFnx6OFZFv7aiuQlE00vP3tagO0JgKTkVzWJgg41kHfyBYmqiWplF/i6Bs6Zw==" saltValue="HiSo+W56uBUlacYJzUtKwA==" spinCount="100000" sheet="1" objects="1" scenarios="1"/>
  <mergeCells count="3">
    <mergeCell ref="A7:C9"/>
    <mergeCell ref="D7:D8"/>
    <mergeCell ref="E7:E8"/>
  </mergeCells>
  <pageMargins left="0.511811024" right="0.511811024" top="0.78740157499999996" bottom="0.78740157499999996" header="0.31496062000000002" footer="0.31496062000000002"/>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F13"/>
  <sheetViews>
    <sheetView workbookViewId="0"/>
  </sheetViews>
  <sheetFormatPr defaultRowHeight="12.75" x14ac:dyDescent="0.2"/>
  <cols>
    <col min="1" max="1" width="5.5703125" bestFit="1" customWidth="1"/>
    <col min="2" max="4" width="9.140625" customWidth="1"/>
    <col min="5" max="5" width="10.85546875" bestFit="1" customWidth="1"/>
    <col min="6" max="6" width="11.28515625" bestFit="1" customWidth="1"/>
    <col min="7" max="7" width="9.140625" customWidth="1"/>
    <col min="8" max="8" width="5.85546875" customWidth="1"/>
    <col min="9" max="9" width="9.140625" customWidth="1"/>
    <col min="10" max="10" width="38.7109375" bestFit="1" customWidth="1"/>
    <col min="11" max="11" width="1.140625" customWidth="1"/>
  </cols>
  <sheetData>
    <row r="1" spans="1:6" ht="15" x14ac:dyDescent="0.25">
      <c r="B1" s="560" t="s">
        <v>1182</v>
      </c>
    </row>
    <row r="3" spans="1:6" ht="15" x14ac:dyDescent="0.25">
      <c r="A3" s="12" t="s">
        <v>660</v>
      </c>
    </row>
    <row r="5" spans="1:6" s="60" customFormat="1" ht="15" x14ac:dyDescent="0.25">
      <c r="A5" s="14" t="s">
        <v>669</v>
      </c>
      <c r="B5" s="61" t="s">
        <v>202</v>
      </c>
    </row>
    <row r="6" spans="1:6" s="60" customFormat="1" ht="15" x14ac:dyDescent="0.25">
      <c r="A6" s="14"/>
      <c r="B6" s="61"/>
    </row>
    <row r="7" spans="1:6" s="60" customFormat="1" ht="31.5" x14ac:dyDescent="0.25">
      <c r="A7" s="1162" t="s">
        <v>201</v>
      </c>
      <c r="B7" s="1162"/>
      <c r="C7" s="1162"/>
      <c r="D7" s="1163"/>
      <c r="E7" s="319" t="s">
        <v>850</v>
      </c>
      <c r="F7" s="319" t="s">
        <v>851</v>
      </c>
    </row>
    <row r="8" spans="1:6" s="60" customFormat="1" ht="15.75" customHeight="1" x14ac:dyDescent="0.25">
      <c r="A8" s="1162"/>
      <c r="B8" s="1162"/>
      <c r="C8" s="1162"/>
      <c r="D8" s="1163"/>
      <c r="E8" s="320">
        <v>0.03</v>
      </c>
      <c r="F8" s="320">
        <v>0.05</v>
      </c>
    </row>
    <row r="9" spans="1:6" s="60" customFormat="1" ht="15.75" customHeight="1" x14ac:dyDescent="0.25">
      <c r="A9" s="61"/>
      <c r="B9" s="61"/>
      <c r="C9" s="61"/>
      <c r="D9" s="61"/>
    </row>
    <row r="10" spans="1:6" s="60" customFormat="1" ht="15" customHeight="1" x14ac:dyDescent="0.25">
      <c r="A10"/>
      <c r="B10"/>
      <c r="C10"/>
      <c r="D10"/>
      <c r="E10"/>
      <c r="F10"/>
    </row>
    <row r="11" spans="1:6" s="60" customFormat="1" ht="15" x14ac:dyDescent="0.25">
      <c r="A11"/>
      <c r="B11"/>
      <c r="C11"/>
      <c r="D11"/>
      <c r="E11"/>
      <c r="F11"/>
    </row>
    <row r="12" spans="1:6" s="60" customFormat="1" ht="15" x14ac:dyDescent="0.25">
      <c r="A12"/>
      <c r="B12"/>
      <c r="C12"/>
      <c r="D12"/>
      <c r="E12"/>
      <c r="F12"/>
    </row>
    <row r="13" spans="1:6" s="60" customFormat="1" ht="15" x14ac:dyDescent="0.25">
      <c r="A13"/>
      <c r="B13"/>
      <c r="C13"/>
      <c r="D13"/>
      <c r="E13"/>
      <c r="F13"/>
    </row>
  </sheetData>
  <sheetProtection algorithmName="SHA-512" hashValue="eLiyjJSvR0GbgkLYDM9+ygEdq6lZOAMSSw4SIsw0+ezWxLdesja7bPN86lH93voVvgMmI/AuhISr0auNwW97Yg==" saltValue="bP8H01n6NPBQLKchnjp7Qw==" spinCount="100000" sheet="1" objects="1" scenarios="1"/>
  <mergeCells count="1">
    <mergeCell ref="A7:D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426E0-D100-4BC6-82C3-6AFFBA356375}">
  <sheetPr>
    <tabColor theme="9"/>
    <pageSetUpPr fitToPage="1"/>
  </sheetPr>
  <dimension ref="A1:G25"/>
  <sheetViews>
    <sheetView view="pageBreakPreview" zoomScale="85" zoomScaleNormal="100" zoomScaleSheetLayoutView="85" workbookViewId="0">
      <selection activeCell="A2" sqref="A2"/>
    </sheetView>
  </sheetViews>
  <sheetFormatPr defaultRowHeight="15" x14ac:dyDescent="0.25"/>
  <cols>
    <col min="1" max="1" width="42.7109375" style="685" customWidth="1"/>
    <col min="2" max="2" width="21.5703125" style="685" customWidth="1"/>
    <col min="3" max="3" width="30.42578125" style="685" customWidth="1"/>
    <col min="4" max="4" width="8.42578125" style="685" bestFit="1" customWidth="1"/>
    <col min="5" max="5" width="6" style="685" bestFit="1" customWidth="1"/>
    <col min="6" max="16384" width="9.140625" style="685"/>
  </cols>
  <sheetData>
    <row r="1" spans="1:7" x14ac:dyDescent="0.25">
      <c r="B1" s="560" t="s">
        <v>1182</v>
      </c>
    </row>
    <row r="3" spans="1:7" ht="36.75" customHeight="1" x14ac:dyDescent="0.25">
      <c r="A3" s="686" t="s">
        <v>1231</v>
      </c>
      <c r="B3" s="687">
        <f>'Resultados_Composição CT'!F76</f>
        <v>4</v>
      </c>
    </row>
    <row r="4" spans="1:7" ht="36.75" customHeight="1" x14ac:dyDescent="0.25">
      <c r="A4" s="686" t="s">
        <v>1232</v>
      </c>
      <c r="B4" s="687">
        <f>'Resultados_Composição CT'!F81</f>
        <v>21.51</v>
      </c>
    </row>
    <row r="5" spans="1:7" ht="15.75" thickBot="1" x14ac:dyDescent="0.3">
      <c r="D5" s="688"/>
    </row>
    <row r="6" spans="1:7" ht="38.25" customHeight="1" thickBot="1" x14ac:dyDescent="0.3">
      <c r="A6" s="689" t="s">
        <v>1233</v>
      </c>
      <c r="B6" s="687">
        <f>'Resultados_Composição CT'!F82</f>
        <v>21.51</v>
      </c>
      <c r="C6" s="690" t="str">
        <f>IF(B6&lt;=B4,"OK","Erro. Tarifa Técnica de Remuneração deve ser menor que a Tarifa Técnica de Referência")</f>
        <v>OK</v>
      </c>
    </row>
    <row r="7" spans="1:7" x14ac:dyDescent="0.25">
      <c r="A7" s="691"/>
      <c r="B7" s="691"/>
      <c r="C7" s="691"/>
    </row>
    <row r="8" spans="1:7" x14ac:dyDescent="0.25">
      <c r="A8" s="692" t="s">
        <v>1234</v>
      </c>
      <c r="B8" s="693">
        <f>'Resultados_Composição CT'!F83</f>
        <v>0</v>
      </c>
      <c r="C8" s="691"/>
    </row>
    <row r="9" spans="1:7" ht="15.75" thickBot="1" x14ac:dyDescent="0.3">
      <c r="D9" s="688"/>
    </row>
    <row r="10" spans="1:7" ht="30.75" customHeight="1" thickBot="1" x14ac:dyDescent="0.3">
      <c r="A10" s="694" t="s">
        <v>1235</v>
      </c>
      <c r="B10" s="695">
        <f ca="1">ROUND(IRR(Resultados_FluxoCaixa!C12:AB12),4)</f>
        <v>0.1134</v>
      </c>
      <c r="C10" s="690" t="str">
        <f ca="1">IF(B10&lt;=B17,"OK","Erro. TIR deve ser menor que o WACC")</f>
        <v>OK</v>
      </c>
      <c r="D10" s="696"/>
      <c r="G10" s="697"/>
    </row>
    <row r="11" spans="1:7" x14ac:dyDescent="0.25">
      <c r="D11" s="696"/>
    </row>
    <row r="12" spans="1:7" x14ac:dyDescent="0.25">
      <c r="A12" s="698" t="s">
        <v>1236</v>
      </c>
      <c r="B12" s="238">
        <v>15</v>
      </c>
      <c r="D12" s="688"/>
      <c r="E12" s="688"/>
      <c r="G12" s="697"/>
    </row>
    <row r="13" spans="1:7" x14ac:dyDescent="0.25">
      <c r="A13" s="699" t="s">
        <v>1237</v>
      </c>
      <c r="B13" s="700">
        <f>IF((B6-B3)&gt;0,('Resultados_Composição CT'!F78-'Resultados_Tarifa e TIR'!B3*ROUND(FC_Premissas!D6/12,0)),0)</f>
        <v>348244.36886652402</v>
      </c>
      <c r="D13" s="701"/>
      <c r="E13" s="688"/>
    </row>
    <row r="14" spans="1:7" x14ac:dyDescent="0.25">
      <c r="A14" s="699" t="s">
        <v>1404</v>
      </c>
      <c r="B14" s="944">
        <f>Ent_Geral!D100/100</f>
        <v>0</v>
      </c>
      <c r="D14" s="701"/>
      <c r="E14" s="688"/>
    </row>
    <row r="15" spans="1:7" x14ac:dyDescent="0.25">
      <c r="A15" s="699" t="s">
        <v>1238</v>
      </c>
      <c r="B15" s="702">
        <f>ROUND(FC_WACC!D50/100,4)</f>
        <v>0.1028</v>
      </c>
      <c r="D15" s="701"/>
      <c r="E15" s="688"/>
    </row>
    <row r="16" spans="1:7" x14ac:dyDescent="0.25">
      <c r="A16" s="699" t="s">
        <v>1239</v>
      </c>
      <c r="B16" s="702">
        <f>ROUND(FC_WACC!D42/100,4)</f>
        <v>0.12909999999999999</v>
      </c>
      <c r="D16" s="701"/>
      <c r="E16" s="688"/>
    </row>
    <row r="17" spans="1:7" x14ac:dyDescent="0.25">
      <c r="A17" s="703" t="s">
        <v>1240</v>
      </c>
      <c r="B17" s="702">
        <f>ROUND(FC_WACC!D53/100,4)</f>
        <v>0.1134</v>
      </c>
      <c r="D17" s="701"/>
      <c r="E17" s="688"/>
    </row>
    <row r="18" spans="1:7" x14ac:dyDescent="0.25">
      <c r="D18" s="701"/>
      <c r="E18" s="688"/>
      <c r="G18" s="697"/>
    </row>
    <row r="19" spans="1:7" x14ac:dyDescent="0.25">
      <c r="A19" s="703" t="s">
        <v>1241</v>
      </c>
      <c r="B19" s="700">
        <f ca="1">NPV('Resultados_Tarifa e TIR'!$B$14,Resultados_FluxoCaixa!C12:AB12)</f>
        <v>4159143.883349569</v>
      </c>
      <c r="D19" s="701"/>
      <c r="E19" s="688"/>
    </row>
    <row r="20" spans="1:7" x14ac:dyDescent="0.25">
      <c r="A20" s="703" t="s">
        <v>1407</v>
      </c>
      <c r="B20" s="946">
        <f ca="1">FC_Payback!E34</f>
        <v>8.2179043237695026</v>
      </c>
      <c r="C20" s="945" t="str">
        <f ca="1">IF(B20="Não se Paga","Rever Taxa de Desconto - Aba Ent_Geral - Célula D100","")</f>
        <v/>
      </c>
      <c r="D20" s="701"/>
      <c r="E20" s="688"/>
    </row>
    <row r="21" spans="1:7" x14ac:dyDescent="0.25">
      <c r="A21" s="703" t="s">
        <v>1243</v>
      </c>
      <c r="B21" s="700">
        <f ca="1">MIN(Resultados_FluxoCaixa!$D$14:$W$14)</f>
        <v>-2177034.7947032414</v>
      </c>
      <c r="D21" s="701"/>
      <c r="E21" s="688"/>
    </row>
    <row r="22" spans="1:7" x14ac:dyDescent="0.25">
      <c r="A22" s="703" t="s">
        <v>1389</v>
      </c>
      <c r="B22" s="700">
        <f>NPV(0,FC_DRE!C9:AA9)</f>
        <v>77733319.600216359</v>
      </c>
      <c r="D22" s="701"/>
      <c r="E22" s="688"/>
    </row>
    <row r="23" spans="1:7" x14ac:dyDescent="0.25">
      <c r="A23" s="703" t="s">
        <v>1390</v>
      </c>
      <c r="B23" s="700">
        <f ca="1">-SUM(FC_CAPEX!C10:C15)</f>
        <v>9448456.9714545477</v>
      </c>
      <c r="C23" s="701"/>
      <c r="D23" s="701"/>
      <c r="E23" s="688"/>
    </row>
    <row r="24" spans="1:7" x14ac:dyDescent="0.25">
      <c r="A24" s="688"/>
      <c r="B24" s="688"/>
      <c r="C24" s="688"/>
      <c r="D24" s="701"/>
      <c r="E24" s="688"/>
    </row>
    <row r="25" spans="1:7" x14ac:dyDescent="0.25">
      <c r="A25" s="688"/>
      <c r="B25" s="688"/>
      <c r="C25" s="688"/>
      <c r="D25" s="688"/>
    </row>
  </sheetData>
  <sheetProtection algorithmName="SHA-512" hashValue="gmfMrXiEdX/nuBVjBiI5a9mAchD4GC6oEKpR3wG9aRi5iDMbruuxTbqFTE2Row28IO2RJ/Z3nTjI/eIF6LlDew==" saltValue="cfdMj/5ezkHnCnGvo5075Q==" spinCount="100000" sheet="1" objects="1" scenarios="1"/>
  <conditionalFormatting sqref="C6:C8 A7:B7 A8">
    <cfRule type="cellIs" dxfId="33" priority="4" operator="equal">
      <formula>"Erro. Tarifa Técnica de Remuneração deve ser menor que a Tarifa Técnica de Referência"</formula>
    </cfRule>
    <cfRule type="cellIs" dxfId="32" priority="5" operator="equal">
      <formula>"OK"</formula>
    </cfRule>
  </conditionalFormatting>
  <conditionalFormatting sqref="C10">
    <cfRule type="cellIs" dxfId="31" priority="2" operator="equal">
      <formula>"Erro. TIR deve ser menor que o WACC"</formula>
    </cfRule>
    <cfRule type="cellIs" dxfId="30" priority="3" operator="equal">
      <formula>"OK"</formula>
    </cfRule>
  </conditionalFormatting>
  <conditionalFormatting sqref="C20">
    <cfRule type="cellIs" dxfId="29" priority="1" operator="equal">
      <formula>"Rever Taxa de Desconto - Aba Ent_Geral - Célula D100"</formula>
    </cfRule>
  </conditionalFormatting>
  <pageMargins left="0.511811024" right="0.511811024" top="0.78740157499999996" bottom="0.78740157499999996" header="0.31496062000000002" footer="0.31496062000000002"/>
  <pageSetup paperSize="9" scale="97"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59999389629810485"/>
  </sheetPr>
  <dimension ref="A1:M62"/>
  <sheetViews>
    <sheetView workbookViewId="0"/>
  </sheetViews>
  <sheetFormatPr defaultColWidth="11.42578125" defaultRowHeight="15" x14ac:dyDescent="0.25"/>
  <cols>
    <col min="1" max="1" width="5" style="60" customWidth="1"/>
    <col min="2" max="2" width="21" style="60" customWidth="1"/>
    <col min="3" max="3" width="10" style="60" hidden="1" customWidth="1"/>
    <col min="4" max="4" width="18.42578125" style="60" customWidth="1"/>
    <col min="5" max="5" width="10" style="60" customWidth="1"/>
    <col min="6" max="6" width="8.140625" style="60" customWidth="1"/>
    <col min="7" max="7" width="15.28515625" style="60" customWidth="1"/>
    <col min="8" max="8" width="5.5703125" style="60" bestFit="1" customWidth="1"/>
    <col min="9" max="9" width="11.42578125" style="60" customWidth="1"/>
    <col min="10" max="10" width="4.7109375" style="60" customWidth="1"/>
    <col min="11" max="11" width="11.42578125" style="60" customWidth="1"/>
    <col min="12" max="12" width="38.7109375" style="60" bestFit="1" customWidth="1"/>
    <col min="13" max="13" width="0.85546875" style="60" customWidth="1"/>
    <col min="14" max="14" width="37.85546875" style="60" customWidth="1"/>
    <col min="15" max="16384" width="11.42578125" style="60"/>
  </cols>
  <sheetData>
    <row r="1" spans="1:7" x14ac:dyDescent="0.25">
      <c r="B1" s="560" t="s">
        <v>1182</v>
      </c>
    </row>
    <row r="3" spans="1:7" x14ac:dyDescent="0.25">
      <c r="A3" s="12" t="s">
        <v>661</v>
      </c>
    </row>
    <row r="5" spans="1:7" x14ac:dyDescent="0.25">
      <c r="A5" s="61" t="s">
        <v>666</v>
      </c>
      <c r="B5" s="61" t="s">
        <v>56</v>
      </c>
    </row>
    <row r="6" spans="1:7" ht="15" customHeight="1" x14ac:dyDescent="0.25">
      <c r="A6" s="1196" t="s">
        <v>58</v>
      </c>
      <c r="B6" s="1197"/>
      <c r="C6" s="1198"/>
      <c r="D6" s="313">
        <v>2</v>
      </c>
      <c r="F6" s="71"/>
    </row>
    <row r="7" spans="1:7" x14ac:dyDescent="0.25">
      <c r="A7" s="1196" t="s">
        <v>57</v>
      </c>
      <c r="B7" s="1197"/>
      <c r="C7" s="1198"/>
      <c r="D7" s="313">
        <v>3</v>
      </c>
      <c r="F7" s="53"/>
    </row>
    <row r="8" spans="1:7" x14ac:dyDescent="0.25">
      <c r="A8" s="61"/>
      <c r="B8" s="61"/>
    </row>
    <row r="9" spans="1:7" x14ac:dyDescent="0.25">
      <c r="A9" s="61" t="s">
        <v>667</v>
      </c>
      <c r="B9" s="61" t="s">
        <v>59</v>
      </c>
      <c r="G9" s="12"/>
    </row>
    <row r="10" spans="1:7" x14ac:dyDescent="0.25">
      <c r="A10" s="1164" t="s">
        <v>8</v>
      </c>
      <c r="B10" s="1165"/>
      <c r="C10" s="1166"/>
      <c r="D10" s="1170" t="s">
        <v>90</v>
      </c>
      <c r="E10" s="1200" t="s">
        <v>91</v>
      </c>
      <c r="F10" s="1201"/>
    </row>
    <row r="11" spans="1:7" x14ac:dyDescent="0.25">
      <c r="A11" s="1167"/>
      <c r="B11" s="1168"/>
      <c r="C11" s="1169"/>
      <c r="D11" s="1170"/>
      <c r="E11" s="1202"/>
      <c r="F11" s="1203"/>
    </row>
    <row r="12" spans="1:7" ht="15" customHeight="1" x14ac:dyDescent="0.25">
      <c r="A12" s="1172" t="s">
        <v>11</v>
      </c>
      <c r="B12" s="1173"/>
      <c r="C12" s="1174"/>
      <c r="D12" s="313">
        <v>85000</v>
      </c>
      <c r="E12" s="1175">
        <v>125000</v>
      </c>
      <c r="F12" s="1176"/>
      <c r="G12" s="1199" t="s">
        <v>24</v>
      </c>
    </row>
    <row r="13" spans="1:7" x14ac:dyDescent="0.25">
      <c r="A13" s="1172" t="s">
        <v>12</v>
      </c>
      <c r="B13" s="1173"/>
      <c r="C13" s="1174"/>
      <c r="D13" s="313">
        <v>85000</v>
      </c>
      <c r="E13" s="1175">
        <v>125000</v>
      </c>
      <c r="F13" s="1176"/>
      <c r="G13" s="1199"/>
    </row>
    <row r="14" spans="1:7" ht="15" customHeight="1" x14ac:dyDescent="0.25">
      <c r="A14" s="1172" t="s">
        <v>13</v>
      </c>
      <c r="B14" s="1173"/>
      <c r="C14" s="1174"/>
      <c r="D14" s="313">
        <v>85000</v>
      </c>
      <c r="E14" s="1175">
        <v>125000</v>
      </c>
      <c r="F14" s="1176"/>
      <c r="G14" s="1199"/>
    </row>
    <row r="15" spans="1:7" x14ac:dyDescent="0.25">
      <c r="A15" s="1172" t="s">
        <v>14</v>
      </c>
      <c r="B15" s="1173"/>
      <c r="C15" s="1174"/>
      <c r="D15" s="313">
        <v>85000</v>
      </c>
      <c r="E15" s="1175">
        <v>125000</v>
      </c>
      <c r="F15" s="1176"/>
      <c r="G15" s="1199"/>
    </row>
    <row r="16" spans="1:7" ht="15" customHeight="1" x14ac:dyDescent="0.25">
      <c r="A16" s="1172" t="s">
        <v>15</v>
      </c>
      <c r="B16" s="1173"/>
      <c r="C16" s="1174"/>
      <c r="D16" s="313">
        <v>85000</v>
      </c>
      <c r="E16" s="1175">
        <v>125000</v>
      </c>
      <c r="F16" s="1176"/>
      <c r="G16" s="1199"/>
    </row>
    <row r="17" spans="1:8" x14ac:dyDescent="0.25">
      <c r="A17" s="1172" t="s">
        <v>16</v>
      </c>
      <c r="B17" s="1173"/>
      <c r="C17" s="1174"/>
      <c r="D17" s="313">
        <v>85000</v>
      </c>
      <c r="E17" s="1175">
        <v>125000</v>
      </c>
      <c r="F17" s="1176"/>
      <c r="G17" s="1199"/>
    </row>
    <row r="18" spans="1:8" x14ac:dyDescent="0.25">
      <c r="A18" s="1172" t="s">
        <v>17</v>
      </c>
      <c r="B18" s="1173"/>
      <c r="C18" s="1174"/>
      <c r="D18" s="313">
        <v>85000</v>
      </c>
      <c r="E18" s="1175">
        <v>125000</v>
      </c>
      <c r="F18" s="1176"/>
      <c r="G18" s="1199"/>
    </row>
    <row r="19" spans="1:8" ht="15" customHeight="1" x14ac:dyDescent="0.25">
      <c r="A19" s="61"/>
      <c r="B19" s="61"/>
    </row>
    <row r="20" spans="1:8" x14ac:dyDescent="0.25">
      <c r="A20" s="61" t="s">
        <v>670</v>
      </c>
      <c r="B20" s="61" t="s">
        <v>67</v>
      </c>
    </row>
    <row r="21" spans="1:8" x14ac:dyDescent="0.25">
      <c r="A21" s="1164" t="s">
        <v>8</v>
      </c>
      <c r="B21" s="1165"/>
      <c r="C21" s="1166"/>
      <c r="D21" s="1170" t="s">
        <v>60</v>
      </c>
      <c r="E21" s="1164" t="s">
        <v>62</v>
      </c>
      <c r="F21" s="1166"/>
      <c r="G21" s="1177" t="s">
        <v>66</v>
      </c>
    </row>
    <row r="22" spans="1:8" x14ac:dyDescent="0.25">
      <c r="A22" s="1167"/>
      <c r="B22" s="1168"/>
      <c r="C22" s="1169"/>
      <c r="D22" s="1170"/>
      <c r="E22" s="1167"/>
      <c r="F22" s="1169"/>
      <c r="G22" s="1178"/>
    </row>
    <row r="23" spans="1:8" ht="15" customHeight="1" x14ac:dyDescent="0.25">
      <c r="A23" s="1172" t="s">
        <v>11</v>
      </c>
      <c r="B23" s="1173"/>
      <c r="C23" s="1174"/>
      <c r="D23" s="313" t="s">
        <v>61</v>
      </c>
      <c r="E23" s="1183" t="s">
        <v>65</v>
      </c>
      <c r="F23" s="1184"/>
      <c r="G23" s="313">
        <v>6</v>
      </c>
      <c r="H23" s="1171" t="s">
        <v>83</v>
      </c>
    </row>
    <row r="24" spans="1:8" x14ac:dyDescent="0.25">
      <c r="A24" s="1172" t="s">
        <v>12</v>
      </c>
      <c r="B24" s="1173"/>
      <c r="C24" s="1174"/>
      <c r="D24" s="313" t="s">
        <v>61</v>
      </c>
      <c r="E24" s="1185"/>
      <c r="F24" s="1186"/>
      <c r="G24" s="313">
        <v>6</v>
      </c>
      <c r="H24" s="1171"/>
    </row>
    <row r="25" spans="1:8" x14ac:dyDescent="0.25">
      <c r="A25" s="1172" t="s">
        <v>13</v>
      </c>
      <c r="B25" s="1173"/>
      <c r="C25" s="1174"/>
      <c r="D25" s="313" t="s">
        <v>63</v>
      </c>
      <c r="E25" s="1185"/>
      <c r="F25" s="1186"/>
      <c r="G25" s="313">
        <v>6</v>
      </c>
      <c r="H25" s="1171"/>
    </row>
    <row r="26" spans="1:8" x14ac:dyDescent="0.25">
      <c r="A26" s="1172" t="s">
        <v>14</v>
      </c>
      <c r="B26" s="1173"/>
      <c r="C26" s="1174"/>
      <c r="D26" s="314" t="s">
        <v>63</v>
      </c>
      <c r="E26" s="1185"/>
      <c r="F26" s="1186"/>
      <c r="G26" s="313">
        <v>6</v>
      </c>
      <c r="H26" s="1171"/>
    </row>
    <row r="27" spans="1:8" x14ac:dyDescent="0.25">
      <c r="A27" s="1172" t="s">
        <v>15</v>
      </c>
      <c r="B27" s="1173"/>
      <c r="C27" s="1174"/>
      <c r="D27" s="313" t="s">
        <v>64</v>
      </c>
      <c r="E27" s="1185"/>
      <c r="F27" s="1186"/>
      <c r="G27" s="313">
        <v>6</v>
      </c>
      <c r="H27" s="1171"/>
    </row>
    <row r="28" spans="1:8" x14ac:dyDescent="0.25">
      <c r="A28" s="1172" t="s">
        <v>16</v>
      </c>
      <c r="B28" s="1173"/>
      <c r="C28" s="1174"/>
      <c r="D28" s="313" t="s">
        <v>64</v>
      </c>
      <c r="E28" s="1185"/>
      <c r="F28" s="1186"/>
      <c r="G28" s="313">
        <v>10</v>
      </c>
      <c r="H28" s="1171"/>
    </row>
    <row r="29" spans="1:8" x14ac:dyDescent="0.25">
      <c r="A29" s="1172" t="s">
        <v>17</v>
      </c>
      <c r="B29" s="1173"/>
      <c r="C29" s="1174"/>
      <c r="D29" s="313" t="s">
        <v>64</v>
      </c>
      <c r="E29" s="1187"/>
      <c r="F29" s="1188"/>
      <c r="G29" s="313">
        <v>14</v>
      </c>
      <c r="H29" s="1171"/>
    </row>
    <row r="31" spans="1:8" x14ac:dyDescent="0.25">
      <c r="A31" s="61" t="s">
        <v>671</v>
      </c>
      <c r="B31" s="61" t="s">
        <v>81</v>
      </c>
    </row>
    <row r="32" spans="1:8" ht="15" customHeight="1" x14ac:dyDescent="0.25">
      <c r="A32" s="1117" t="s">
        <v>8</v>
      </c>
      <c r="B32" s="1118"/>
      <c r="C32" s="1125"/>
      <c r="D32" s="1180" t="s">
        <v>88</v>
      </c>
      <c r="E32" s="1182" t="s">
        <v>82</v>
      </c>
      <c r="F32" s="1182"/>
    </row>
    <row r="33" spans="1:13" x14ac:dyDescent="0.25">
      <c r="A33" s="1119"/>
      <c r="B33" s="1120"/>
      <c r="C33" s="1126"/>
      <c r="D33" s="1181"/>
      <c r="E33" s="1182"/>
      <c r="F33" s="1182"/>
    </row>
    <row r="34" spans="1:13" ht="15" customHeight="1" x14ac:dyDescent="0.25">
      <c r="A34" s="1122" t="s">
        <v>11</v>
      </c>
      <c r="B34" s="1123"/>
      <c r="C34" s="1124"/>
      <c r="D34" s="315">
        <f>$D$7</f>
        <v>3</v>
      </c>
      <c r="E34" s="1179">
        <f>G23*D34*'ANTP_2.1.c Insumos'!$F$18</f>
        <v>0</v>
      </c>
      <c r="F34" s="1179"/>
    </row>
    <row r="35" spans="1:13" x14ac:dyDescent="0.25">
      <c r="A35" s="1122" t="s">
        <v>12</v>
      </c>
      <c r="B35" s="1123"/>
      <c r="C35" s="1124"/>
      <c r="D35" s="316">
        <f t="shared" ref="D35:D40" si="0">$D$7</f>
        <v>3</v>
      </c>
      <c r="E35" s="1179">
        <f>G24*D35*'ANTP_2.1.c Insumos'!$F$18</f>
        <v>0</v>
      </c>
      <c r="F35" s="1179"/>
    </row>
    <row r="36" spans="1:13" ht="15" customHeight="1" x14ac:dyDescent="0.25">
      <c r="A36" s="1122" t="s">
        <v>13</v>
      </c>
      <c r="B36" s="1123"/>
      <c r="C36" s="1124"/>
      <c r="D36" s="316">
        <f t="shared" si="0"/>
        <v>3</v>
      </c>
      <c r="E36" s="1179">
        <f>G25*D36*'ANTP_2.1.c Insumos'!$F$19</f>
        <v>10800</v>
      </c>
      <c r="F36" s="1179"/>
    </row>
    <row r="37" spans="1:13" x14ac:dyDescent="0.25">
      <c r="A37" s="1122" t="s">
        <v>14</v>
      </c>
      <c r="B37" s="1123"/>
      <c r="C37" s="1124"/>
      <c r="D37" s="316">
        <f t="shared" si="0"/>
        <v>3</v>
      </c>
      <c r="E37" s="1179">
        <f>G26*D37*'ANTP_2.1.c Insumos'!$F$19</f>
        <v>10800</v>
      </c>
      <c r="F37" s="1179"/>
    </row>
    <row r="38" spans="1:13" ht="15" customHeight="1" x14ac:dyDescent="0.25">
      <c r="A38" s="1122" t="s">
        <v>15</v>
      </c>
      <c r="B38" s="1123"/>
      <c r="C38" s="1124"/>
      <c r="D38" s="316">
        <f t="shared" si="0"/>
        <v>3</v>
      </c>
      <c r="E38" s="1179">
        <f>G27*D38*'ANTP_2.1.c Insumos'!$F$20</f>
        <v>0</v>
      </c>
      <c r="F38" s="1179"/>
    </row>
    <row r="39" spans="1:13" x14ac:dyDescent="0.25">
      <c r="A39" s="1122" t="s">
        <v>16</v>
      </c>
      <c r="B39" s="1123"/>
      <c r="C39" s="1124"/>
      <c r="D39" s="316">
        <f t="shared" si="0"/>
        <v>3</v>
      </c>
      <c r="E39" s="1179">
        <f>G28*D39*'ANTP_2.1.c Insumos'!$F$20</f>
        <v>0</v>
      </c>
      <c r="F39" s="1179"/>
    </row>
    <row r="40" spans="1:13" x14ac:dyDescent="0.25">
      <c r="A40" s="1122" t="s">
        <v>17</v>
      </c>
      <c r="B40" s="1123"/>
      <c r="C40" s="1124"/>
      <c r="D40" s="316">
        <f t="shared" si="0"/>
        <v>3</v>
      </c>
      <c r="E40" s="1179">
        <f>G29*D40*'ANTP_2.1.c Insumos'!$F$20</f>
        <v>0</v>
      </c>
      <c r="F40" s="1179"/>
    </row>
    <row r="42" spans="1:13" x14ac:dyDescent="0.25">
      <c r="A42" s="61" t="s">
        <v>672</v>
      </c>
      <c r="B42" s="61" t="s">
        <v>84</v>
      </c>
    </row>
    <row r="43" spans="1:13" ht="15" customHeight="1" thickBot="1" x14ac:dyDescent="0.3">
      <c r="A43" s="1117" t="s">
        <v>8</v>
      </c>
      <c r="B43" s="1118"/>
      <c r="C43" s="1125"/>
      <c r="D43" s="1189" t="s">
        <v>85</v>
      </c>
    </row>
    <row r="44" spans="1:13" ht="15" customHeight="1" thickBot="1" x14ac:dyDescent="0.3">
      <c r="A44" s="1119"/>
      <c r="B44" s="1120"/>
      <c r="C44" s="1126"/>
      <c r="D44" s="1190"/>
      <c r="J44" s="1193" t="s">
        <v>80</v>
      </c>
      <c r="K44" s="1194"/>
      <c r="L44" s="1194"/>
      <c r="M44" s="1195"/>
    </row>
    <row r="45" spans="1:13" ht="15" customHeight="1" x14ac:dyDescent="0.25">
      <c r="A45" s="1122" t="s">
        <v>11</v>
      </c>
      <c r="B45" s="1123"/>
      <c r="C45" s="1124"/>
      <c r="D45" s="317">
        <f>G23*'ANTP_2.1.c Insumos'!$F$15</f>
        <v>0</v>
      </c>
      <c r="J45" s="272"/>
      <c r="K45" s="273"/>
      <c r="L45" s="273"/>
      <c r="M45" s="274"/>
    </row>
    <row r="46" spans="1:13" x14ac:dyDescent="0.25">
      <c r="A46" s="1122" t="s">
        <v>12</v>
      </c>
      <c r="B46" s="1123"/>
      <c r="C46" s="1124"/>
      <c r="D46" s="317">
        <f>G24*'ANTP_2.1.c Insumos'!$F$15</f>
        <v>0</v>
      </c>
      <c r="E46" s="21"/>
      <c r="J46" s="276"/>
      <c r="K46" s="119"/>
      <c r="L46" s="241" t="s">
        <v>78</v>
      </c>
      <c r="M46" s="277"/>
    </row>
    <row r="47" spans="1:13" x14ac:dyDescent="0.25">
      <c r="A47" s="1122" t="s">
        <v>13</v>
      </c>
      <c r="B47" s="1123"/>
      <c r="C47" s="1124"/>
      <c r="D47" s="317">
        <f>G25*'ANTP_2.1.c Insumos'!$F$16</f>
        <v>11822.400000000001</v>
      </c>
      <c r="E47" s="21"/>
      <c r="J47" s="276"/>
      <c r="K47" s="278"/>
      <c r="L47" s="241" t="s">
        <v>89</v>
      </c>
      <c r="M47" s="277"/>
    </row>
    <row r="48" spans="1:13" x14ac:dyDescent="0.25">
      <c r="A48" s="1122" t="s">
        <v>14</v>
      </c>
      <c r="B48" s="1123"/>
      <c r="C48" s="1124"/>
      <c r="D48" s="317">
        <f>G26*'ANTP_2.1.c Insumos'!$F$16</f>
        <v>11822.400000000001</v>
      </c>
      <c r="E48" s="21"/>
      <c r="J48" s="276"/>
      <c r="K48" s="279"/>
      <c r="L48" s="241" t="s">
        <v>79</v>
      </c>
      <c r="M48" s="277"/>
    </row>
    <row r="49" spans="1:13" ht="15.75" thickBot="1" x14ac:dyDescent="0.3">
      <c r="A49" s="1122" t="s">
        <v>15</v>
      </c>
      <c r="B49" s="1123"/>
      <c r="C49" s="1124"/>
      <c r="D49" s="317">
        <f>G27*'ANTP_2.1.c Insumos'!$F$17</f>
        <v>0</v>
      </c>
      <c r="E49" s="21"/>
      <c r="J49" s="280"/>
      <c r="K49" s="281"/>
      <c r="L49" s="281"/>
      <c r="M49" s="282"/>
    </row>
    <row r="50" spans="1:13" x14ac:dyDescent="0.25">
      <c r="A50" s="1122" t="s">
        <v>16</v>
      </c>
      <c r="B50" s="1123"/>
      <c r="C50" s="1124"/>
      <c r="D50" s="317">
        <f>G28*'ANTP_2.1.c Insumos'!$F$17</f>
        <v>0</v>
      </c>
      <c r="E50" s="21"/>
    </row>
    <row r="51" spans="1:13" x14ac:dyDescent="0.25">
      <c r="A51" s="1122" t="s">
        <v>17</v>
      </c>
      <c r="B51" s="1123"/>
      <c r="C51" s="1124"/>
      <c r="D51" s="317">
        <f>G29*'ANTP_2.1.c Insumos'!$F$17</f>
        <v>0</v>
      </c>
      <c r="E51" s="21"/>
    </row>
    <row r="53" spans="1:13" x14ac:dyDescent="0.25">
      <c r="A53" s="61" t="s">
        <v>673</v>
      </c>
      <c r="B53" s="61" t="s">
        <v>86</v>
      </c>
    </row>
    <row r="54" spans="1:13" ht="15" customHeight="1" x14ac:dyDescent="0.25">
      <c r="A54" s="1117" t="s">
        <v>8</v>
      </c>
      <c r="B54" s="1118"/>
      <c r="C54" s="1125"/>
      <c r="D54" s="1180" t="s">
        <v>92</v>
      </c>
      <c r="E54" s="1182" t="s">
        <v>87</v>
      </c>
      <c r="F54" s="1182"/>
    </row>
    <row r="55" spans="1:13" ht="15" customHeight="1" x14ac:dyDescent="0.25">
      <c r="A55" s="1119"/>
      <c r="B55" s="1120"/>
      <c r="C55" s="1126"/>
      <c r="D55" s="1181"/>
      <c r="E55" s="1182"/>
      <c r="F55" s="1182"/>
    </row>
    <row r="56" spans="1:13" ht="15" customHeight="1" x14ac:dyDescent="0.25">
      <c r="A56" s="1122" t="s">
        <v>11</v>
      </c>
      <c r="B56" s="1123"/>
      <c r="C56" s="1124"/>
      <c r="D56" s="318">
        <f>E12</f>
        <v>125000</v>
      </c>
      <c r="E56" s="1191">
        <f>(E34+D45)*(SUM('ANTP_1.3 Frota Total'!C21:F21))/D56</f>
        <v>0</v>
      </c>
      <c r="F56" s="1192"/>
    </row>
    <row r="57" spans="1:13" x14ac:dyDescent="0.25">
      <c r="A57" s="1122" t="s">
        <v>12</v>
      </c>
      <c r="B57" s="1123"/>
      <c r="C57" s="1124"/>
      <c r="D57" s="318">
        <f t="shared" ref="D57:D62" si="1">E13</f>
        <v>125000</v>
      </c>
      <c r="E57" s="1191">
        <f>(E35+D46)*(SUM('ANTP_1.3 Frota Total'!C22:F22))/D57</f>
        <v>0</v>
      </c>
      <c r="F57" s="1192"/>
      <c r="G57" s="21"/>
    </row>
    <row r="58" spans="1:13" x14ac:dyDescent="0.25">
      <c r="A58" s="1122" t="s">
        <v>13</v>
      </c>
      <c r="B58" s="1123"/>
      <c r="C58" s="1124"/>
      <c r="D58" s="318">
        <f t="shared" si="1"/>
        <v>125000</v>
      </c>
      <c r="E58" s="1191">
        <f>(E36+D47)*(SUM('ANTP_1.3 Frota Total'!C23:F23))/D58</f>
        <v>0</v>
      </c>
      <c r="F58" s="1192"/>
      <c r="G58" s="21"/>
    </row>
    <row r="59" spans="1:13" x14ac:dyDescent="0.25">
      <c r="A59" s="1122" t="s">
        <v>14</v>
      </c>
      <c r="B59" s="1123"/>
      <c r="C59" s="1124"/>
      <c r="D59" s="318">
        <f t="shared" si="1"/>
        <v>125000</v>
      </c>
      <c r="E59" s="1191">
        <f>(E37+D48)*(SUM('ANTP_1.3 Frota Total'!C24:F24))/D59</f>
        <v>1.9907712000000002</v>
      </c>
      <c r="F59" s="1192"/>
      <c r="G59" s="21"/>
    </row>
    <row r="60" spans="1:13" x14ac:dyDescent="0.25">
      <c r="A60" s="1122" t="s">
        <v>15</v>
      </c>
      <c r="B60" s="1123"/>
      <c r="C60" s="1124"/>
      <c r="D60" s="318">
        <f t="shared" si="1"/>
        <v>125000</v>
      </c>
      <c r="E60" s="1191">
        <f>(E38+D49)*(SUM('ANTP_1.3 Frota Total'!C25:F25))/D60</f>
        <v>0</v>
      </c>
      <c r="F60" s="1192"/>
      <c r="G60" s="21"/>
    </row>
    <row r="61" spans="1:13" x14ac:dyDescent="0.25">
      <c r="A61" s="1122" t="s">
        <v>16</v>
      </c>
      <c r="B61" s="1123"/>
      <c r="C61" s="1124"/>
      <c r="D61" s="318">
        <f t="shared" si="1"/>
        <v>125000</v>
      </c>
      <c r="E61" s="1191">
        <f>(E39+D50)*(SUM('ANTP_1.3 Frota Total'!C26:F26))/D61</f>
        <v>0</v>
      </c>
      <c r="F61" s="1192"/>
      <c r="G61" s="21"/>
    </row>
    <row r="62" spans="1:13" x14ac:dyDescent="0.25">
      <c r="A62" s="1122" t="s">
        <v>17</v>
      </c>
      <c r="B62" s="1123"/>
      <c r="C62" s="1124"/>
      <c r="D62" s="318">
        <f t="shared" si="1"/>
        <v>125000</v>
      </c>
      <c r="E62" s="1191">
        <f>(E40+D51)*(SUM('ANTP_1.3 Frota Total'!C27:F27))/D62</f>
        <v>0</v>
      </c>
      <c r="F62" s="1192"/>
      <c r="G62" s="21"/>
    </row>
  </sheetData>
  <sheetProtection algorithmName="SHA-512" hashValue="RU7zwCSFEd6xvugyC9TAtN/rnyyFvoaHXqD8stsdQcv8jK+oaZIQGgi0mIMN2xnBl32+KJ6BMkywdVw8Ckjg5g==" saltValue="6gt0otZdlvRyOsFWEVNoaw==" spinCount="100000" sheet="1" objects="1" scenarios="1"/>
  <mergeCells count="77">
    <mergeCell ref="J44:M44"/>
    <mergeCell ref="A18:C18"/>
    <mergeCell ref="A6:C6"/>
    <mergeCell ref="A7:C7"/>
    <mergeCell ref="G12:G18"/>
    <mergeCell ref="E10:F11"/>
    <mergeCell ref="E12:F12"/>
    <mergeCell ref="E13:F13"/>
    <mergeCell ref="E14:F14"/>
    <mergeCell ref="A15:C15"/>
    <mergeCell ref="A12:C12"/>
    <mergeCell ref="A13:C13"/>
    <mergeCell ref="A14:C14"/>
    <mergeCell ref="A28:C28"/>
    <mergeCell ref="E15:F15"/>
    <mergeCell ref="A16:C16"/>
    <mergeCell ref="A34:C34"/>
    <mergeCell ref="A56:C56"/>
    <mergeCell ref="A50:C50"/>
    <mergeCell ref="A35:C35"/>
    <mergeCell ref="A36:C36"/>
    <mergeCell ref="A38:C38"/>
    <mergeCell ref="A39:C39"/>
    <mergeCell ref="A40:C40"/>
    <mergeCell ref="A62:C62"/>
    <mergeCell ref="E62:F62"/>
    <mergeCell ref="E58:F58"/>
    <mergeCell ref="A59:C59"/>
    <mergeCell ref="E59:F59"/>
    <mergeCell ref="E61:F61"/>
    <mergeCell ref="A61:C61"/>
    <mergeCell ref="A60:C60"/>
    <mergeCell ref="E60:F60"/>
    <mergeCell ref="D43:D44"/>
    <mergeCell ref="A57:C57"/>
    <mergeCell ref="E57:F57"/>
    <mergeCell ref="A58:C58"/>
    <mergeCell ref="A51:C51"/>
    <mergeCell ref="A49:C49"/>
    <mergeCell ref="E54:F55"/>
    <mergeCell ref="E56:F56"/>
    <mergeCell ref="A54:C55"/>
    <mergeCell ref="D54:D55"/>
    <mergeCell ref="A47:C47"/>
    <mergeCell ref="A48:C48"/>
    <mergeCell ref="A46:C46"/>
    <mergeCell ref="A45:C45"/>
    <mergeCell ref="E35:F35"/>
    <mergeCell ref="A43:C44"/>
    <mergeCell ref="A26:C26"/>
    <mergeCell ref="A27:C27"/>
    <mergeCell ref="E36:F36"/>
    <mergeCell ref="E37:F37"/>
    <mergeCell ref="D32:D33"/>
    <mergeCell ref="E32:F33"/>
    <mergeCell ref="E34:F34"/>
    <mergeCell ref="A29:C29"/>
    <mergeCell ref="E23:F29"/>
    <mergeCell ref="E40:F40"/>
    <mergeCell ref="E38:F38"/>
    <mergeCell ref="E39:F39"/>
    <mergeCell ref="A37:C37"/>
    <mergeCell ref="A32:C33"/>
    <mergeCell ref="A10:C11"/>
    <mergeCell ref="D10:D11"/>
    <mergeCell ref="H23:H29"/>
    <mergeCell ref="A24:C24"/>
    <mergeCell ref="A25:C25"/>
    <mergeCell ref="E16:F16"/>
    <mergeCell ref="E17:F17"/>
    <mergeCell ref="E18:F18"/>
    <mergeCell ref="E21:F22"/>
    <mergeCell ref="A17:C17"/>
    <mergeCell ref="D21:D22"/>
    <mergeCell ref="G21:G22"/>
    <mergeCell ref="A21:C22"/>
    <mergeCell ref="A23:C23"/>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39997558519241921"/>
  </sheetPr>
  <dimension ref="A1:F14"/>
  <sheetViews>
    <sheetView workbookViewId="0">
      <selection activeCell="F9" sqref="F9:F14"/>
    </sheetView>
  </sheetViews>
  <sheetFormatPr defaultRowHeight="12.75" x14ac:dyDescent="0.2"/>
  <cols>
    <col min="1" max="6" width="9.140625" customWidth="1"/>
    <col min="7" max="7" width="5.140625" customWidth="1"/>
    <col min="8" max="8" width="9.140625" customWidth="1"/>
    <col min="9" max="9" width="12.28515625" customWidth="1"/>
    <col min="10" max="10" width="10.140625" customWidth="1"/>
  </cols>
  <sheetData>
    <row r="1" spans="1:6" ht="15" x14ac:dyDescent="0.25">
      <c r="B1" s="560" t="s">
        <v>1182</v>
      </c>
    </row>
    <row r="3" spans="1:6" ht="15" x14ac:dyDescent="0.25">
      <c r="A3" s="12" t="s">
        <v>662</v>
      </c>
    </row>
    <row r="5" spans="1:6" s="60" customFormat="1" ht="15" x14ac:dyDescent="0.25">
      <c r="A5" s="14" t="s">
        <v>674</v>
      </c>
      <c r="B5" s="61" t="s">
        <v>750</v>
      </c>
    </row>
    <row r="6" spans="1:6" s="60" customFormat="1" ht="15" x14ac:dyDescent="0.25">
      <c r="A6" s="61"/>
      <c r="B6" s="61"/>
    </row>
    <row r="7" spans="1:6" s="60" customFormat="1" ht="16.5" customHeight="1" x14ac:dyDescent="0.25">
      <c r="B7" s="1205" t="s">
        <v>203</v>
      </c>
      <c r="C7" s="1206"/>
      <c r="D7" s="1206"/>
      <c r="E7" s="1207"/>
      <c r="F7" s="1208" t="s">
        <v>373</v>
      </c>
    </row>
    <row r="8" spans="1:6" s="60" customFormat="1" ht="15.75" customHeight="1" x14ac:dyDescent="0.25">
      <c r="B8" s="1205" t="s">
        <v>847</v>
      </c>
      <c r="C8" s="1206"/>
      <c r="D8" s="1206"/>
      <c r="E8" s="1207"/>
      <c r="F8" s="1209"/>
    </row>
    <row r="9" spans="1:6" s="60" customFormat="1" ht="15.75" customHeight="1" x14ac:dyDescent="0.25">
      <c r="B9" s="1210" t="s">
        <v>753</v>
      </c>
      <c r="C9" s="1211"/>
      <c r="D9" s="1211"/>
      <c r="E9" s="1212"/>
      <c r="F9" s="520">
        <v>0.06</v>
      </c>
    </row>
    <row r="10" spans="1:6" s="60" customFormat="1" ht="15" customHeight="1" x14ac:dyDescent="0.25">
      <c r="B10" s="1210" t="s">
        <v>754</v>
      </c>
      <c r="C10" s="1211"/>
      <c r="D10" s="1211"/>
      <c r="E10" s="1212"/>
      <c r="F10" s="520">
        <v>7.0000000000000007E-2</v>
      </c>
    </row>
    <row r="11" spans="1:6" s="60" customFormat="1" ht="15.75" x14ac:dyDescent="0.25">
      <c r="B11" s="1210" t="s">
        <v>374</v>
      </c>
      <c r="C11" s="1211"/>
      <c r="D11" s="1211"/>
      <c r="E11" s="1212"/>
      <c r="F11" s="520">
        <v>0.08</v>
      </c>
    </row>
    <row r="12" spans="1:6" s="60" customFormat="1" ht="15.75" x14ac:dyDescent="0.25">
      <c r="B12" s="1210" t="s">
        <v>755</v>
      </c>
      <c r="C12" s="1211"/>
      <c r="D12" s="1211"/>
      <c r="E12" s="1212"/>
      <c r="F12" s="520">
        <v>0.09</v>
      </c>
    </row>
    <row r="13" spans="1:6" s="60" customFormat="1" ht="15.75" x14ac:dyDescent="0.25">
      <c r="B13" s="1210" t="s">
        <v>756</v>
      </c>
      <c r="C13" s="1211"/>
      <c r="D13" s="1211"/>
      <c r="E13" s="1212"/>
      <c r="F13" s="520">
        <v>0.1</v>
      </c>
    </row>
    <row r="14" spans="1:6" ht="15.75" x14ac:dyDescent="0.25">
      <c r="B14" s="1204" t="s">
        <v>375</v>
      </c>
      <c r="C14" s="1204"/>
      <c r="D14" s="1204"/>
      <c r="E14" s="1204"/>
      <c r="F14" s="520">
        <v>0.12</v>
      </c>
    </row>
  </sheetData>
  <sheetProtection algorithmName="SHA-512" hashValue="jKzNzREQ1OZZY6+vuUMHonq96LrYr8qLr7RqjHjuzhvR70KypzCVBdRDlTeMNpCVzCtFRjuFDp2uiDVx4iy6lg==" saltValue="LnjJb2LKBetll5zCTvZRqw==" spinCount="100000" sheet="1" objects="1" scenarios="1"/>
  <mergeCells count="9">
    <mergeCell ref="B14:E14"/>
    <mergeCell ref="B7:E7"/>
    <mergeCell ref="B8:E8"/>
    <mergeCell ref="F7:F8"/>
    <mergeCell ref="B9:E9"/>
    <mergeCell ref="B10:E10"/>
    <mergeCell ref="B11:E11"/>
    <mergeCell ref="B12:E12"/>
    <mergeCell ref="B13:E13"/>
  </mergeCells>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39997558519241921"/>
  </sheetPr>
  <dimension ref="A1:F13"/>
  <sheetViews>
    <sheetView workbookViewId="0"/>
  </sheetViews>
  <sheetFormatPr defaultRowHeight="12.75" x14ac:dyDescent="0.2"/>
  <cols>
    <col min="1" max="1" width="6.7109375" bestFit="1" customWidth="1"/>
    <col min="2" max="4" width="9.140625" customWidth="1"/>
    <col min="5" max="5" width="12.42578125" customWidth="1"/>
    <col min="6" max="6" width="17.85546875" customWidth="1"/>
    <col min="7" max="7" width="9.140625" customWidth="1"/>
    <col min="8" max="8" width="1.5703125" customWidth="1"/>
    <col min="9" max="9" width="9.140625" customWidth="1"/>
    <col min="10" max="10" width="38.7109375" customWidth="1"/>
    <col min="11" max="11" width="0.85546875" customWidth="1"/>
  </cols>
  <sheetData>
    <row r="1" spans="1:6" ht="15" x14ac:dyDescent="0.25">
      <c r="B1" s="560" t="s">
        <v>1182</v>
      </c>
    </row>
    <row r="3" spans="1:6" x14ac:dyDescent="0.2">
      <c r="A3" s="31" t="s">
        <v>663</v>
      </c>
    </row>
    <row r="5" spans="1:6" s="60" customFormat="1" ht="15" x14ac:dyDescent="0.25">
      <c r="A5" s="14" t="s">
        <v>675</v>
      </c>
      <c r="B5" s="61" t="s">
        <v>204</v>
      </c>
    </row>
    <row r="6" spans="1:6" s="60" customFormat="1" ht="15" x14ac:dyDescent="0.25">
      <c r="A6" s="61"/>
      <c r="B6" s="61"/>
    </row>
    <row r="7" spans="1:6" s="60" customFormat="1" ht="15.75" x14ac:dyDescent="0.25">
      <c r="A7" s="1162" t="s">
        <v>205</v>
      </c>
      <c r="B7" s="1162"/>
      <c r="C7" s="1162"/>
      <c r="D7" s="1163"/>
      <c r="E7" s="519" t="s">
        <v>848</v>
      </c>
      <c r="F7" s="519" t="s">
        <v>849</v>
      </c>
    </row>
    <row r="8" spans="1:6" s="60" customFormat="1" ht="15.75" customHeight="1" x14ac:dyDescent="0.25">
      <c r="A8" s="1162"/>
      <c r="B8" s="1162"/>
      <c r="C8" s="1162"/>
      <c r="D8" s="1163"/>
      <c r="E8" s="320">
        <v>0.01</v>
      </c>
      <c r="F8" s="320">
        <v>1.4999999999999999E-2</v>
      </c>
    </row>
    <row r="9" spans="1:6" s="60" customFormat="1" ht="15.75" customHeight="1" x14ac:dyDescent="0.25">
      <c r="A9" s="61"/>
      <c r="B9" s="61"/>
      <c r="C9" s="61"/>
      <c r="D9" s="61"/>
    </row>
    <row r="10" spans="1:6" s="60" customFormat="1" ht="15" customHeight="1" x14ac:dyDescent="0.25">
      <c r="A10"/>
      <c r="B10"/>
      <c r="C10"/>
      <c r="D10"/>
      <c r="E10"/>
      <c r="F10"/>
    </row>
    <row r="11" spans="1:6" s="60" customFormat="1" ht="15" x14ac:dyDescent="0.25">
      <c r="A11"/>
      <c r="B11"/>
      <c r="C11"/>
      <c r="D11"/>
      <c r="E11"/>
      <c r="F11"/>
    </row>
    <row r="12" spans="1:6" s="60" customFormat="1" ht="15" x14ac:dyDescent="0.25">
      <c r="A12"/>
      <c r="B12"/>
      <c r="C12"/>
      <c r="D12"/>
      <c r="E12"/>
      <c r="F12"/>
    </row>
    <row r="13" spans="1:6" s="60" customFormat="1" ht="15" x14ac:dyDescent="0.25">
      <c r="A13"/>
      <c r="B13"/>
      <c r="C13"/>
      <c r="D13"/>
      <c r="E13"/>
      <c r="F13"/>
    </row>
  </sheetData>
  <sheetProtection algorithmName="SHA-512" hashValue="FevZZWuifzvbP0i4EqL13kWW0F3VDaBPj34/Uf55KtXusMZsek7fXxRU3qagj4WSasUZnrgz3EqEXWBy5nQduA==" saltValue="/0g95Ze+TjYtHwkpAkDhvA==" spinCount="100000" sheet="1" objects="1" scenarios="1"/>
  <mergeCells count="1">
    <mergeCell ref="A7:D8"/>
  </mergeCells>
  <pageMargins left="0.511811024" right="0.511811024" top="0.78740157499999996" bottom="0.78740157499999996" header="0.31496062000000002" footer="0.31496062000000002"/>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39997558519241921"/>
  </sheetPr>
  <dimension ref="A1:L277"/>
  <sheetViews>
    <sheetView zoomScale="80" zoomScaleNormal="80" workbookViewId="0"/>
  </sheetViews>
  <sheetFormatPr defaultColWidth="11.42578125" defaultRowHeight="15" x14ac:dyDescent="0.25"/>
  <cols>
    <col min="1" max="1" width="5.5703125" style="60" bestFit="1" customWidth="1"/>
    <col min="2" max="2" width="2.7109375" style="60" customWidth="1"/>
    <col min="3" max="3" width="3.5703125" style="60" bestFit="1" customWidth="1"/>
    <col min="4" max="4" width="21" style="60" customWidth="1"/>
    <col min="5" max="5" width="19" style="60" customWidth="1"/>
    <col min="6" max="7" width="26.7109375" style="60" customWidth="1"/>
    <col min="8" max="9" width="26.85546875" style="60" bestFit="1" customWidth="1"/>
    <col min="10" max="10" width="17.5703125" style="60" customWidth="1"/>
    <col min="11" max="11" width="4.42578125" style="60" customWidth="1"/>
    <col min="12" max="12" width="11.42578125" style="60" customWidth="1"/>
    <col min="13" max="13" width="42.5703125" style="60" bestFit="1" customWidth="1"/>
    <col min="14" max="14" width="11.85546875" style="60" customWidth="1"/>
    <col min="15" max="16384" width="11.42578125" style="60"/>
  </cols>
  <sheetData>
    <row r="1" spans="1:7" x14ac:dyDescent="0.25">
      <c r="B1" s="560" t="s">
        <v>1182</v>
      </c>
    </row>
    <row r="3" spans="1:7" x14ac:dyDescent="0.25">
      <c r="A3" s="12" t="s">
        <v>664</v>
      </c>
    </row>
    <row r="5" spans="1:7" x14ac:dyDescent="0.25">
      <c r="A5" s="61" t="s">
        <v>665</v>
      </c>
    </row>
    <row r="7" spans="1:7" x14ac:dyDescent="0.25">
      <c r="A7" s="61" t="s">
        <v>676</v>
      </c>
      <c r="B7" s="61" t="s">
        <v>116</v>
      </c>
    </row>
    <row r="8" spans="1:7" x14ac:dyDescent="0.25">
      <c r="A8" s="1164" t="s">
        <v>8</v>
      </c>
      <c r="B8" s="1165"/>
      <c r="C8" s="1165"/>
      <c r="D8" s="1165"/>
      <c r="E8" s="1170" t="s">
        <v>117</v>
      </c>
      <c r="F8" s="1164" t="s">
        <v>118</v>
      </c>
    </row>
    <row r="9" spans="1:7" x14ac:dyDescent="0.25">
      <c r="A9" s="1167"/>
      <c r="B9" s="1168"/>
      <c r="C9" s="1168"/>
      <c r="D9" s="1168"/>
      <c r="E9" s="1170"/>
      <c r="F9" s="1202"/>
    </row>
    <row r="10" spans="1:7" ht="15" customHeight="1" x14ac:dyDescent="0.25">
      <c r="A10" s="1172" t="s">
        <v>11</v>
      </c>
      <c r="B10" s="1173"/>
      <c r="C10" s="1173"/>
      <c r="D10" s="1173"/>
      <c r="E10" s="440">
        <v>5</v>
      </c>
      <c r="F10" s="566">
        <v>0.15</v>
      </c>
      <c r="G10" s="21"/>
    </row>
    <row r="11" spans="1:7" x14ac:dyDescent="0.25">
      <c r="A11" s="1172" t="s">
        <v>12</v>
      </c>
      <c r="B11" s="1173"/>
      <c r="C11" s="1173"/>
      <c r="D11" s="1173"/>
      <c r="E11" s="1240">
        <v>10</v>
      </c>
      <c r="F11" s="1241">
        <v>0.1</v>
      </c>
      <c r="G11" s="21"/>
    </row>
    <row r="12" spans="1:7" ht="15" customHeight="1" x14ac:dyDescent="0.25">
      <c r="A12" s="1172" t="s">
        <v>13</v>
      </c>
      <c r="B12" s="1173"/>
      <c r="C12" s="1173"/>
      <c r="D12" s="1173"/>
      <c r="E12" s="1240"/>
      <c r="F12" s="1241"/>
      <c r="G12" s="21"/>
    </row>
    <row r="13" spans="1:7" x14ac:dyDescent="0.25">
      <c r="A13" s="1172" t="s">
        <v>14</v>
      </c>
      <c r="B13" s="1173"/>
      <c r="C13" s="1173"/>
      <c r="D13" s="1173"/>
      <c r="E13" s="1240"/>
      <c r="F13" s="1241"/>
      <c r="G13" s="21"/>
    </row>
    <row r="14" spans="1:7" ht="15" customHeight="1" x14ac:dyDescent="0.25">
      <c r="A14" s="1172" t="s">
        <v>15</v>
      </c>
      <c r="B14" s="1173"/>
      <c r="C14" s="1173"/>
      <c r="D14" s="1173"/>
      <c r="E14" s="440">
        <v>10</v>
      </c>
      <c r="F14" s="441">
        <v>0.1</v>
      </c>
      <c r="G14" s="21"/>
    </row>
    <row r="15" spans="1:7" x14ac:dyDescent="0.25">
      <c r="A15" s="1172" t="s">
        <v>16</v>
      </c>
      <c r="B15" s="1173"/>
      <c r="C15" s="1173"/>
      <c r="D15" s="1173"/>
      <c r="E15" s="1228">
        <v>12</v>
      </c>
      <c r="F15" s="1230">
        <v>0.05</v>
      </c>
      <c r="G15" s="21"/>
    </row>
    <row r="16" spans="1:7" x14ac:dyDescent="0.25">
      <c r="A16" s="1172" t="s">
        <v>17</v>
      </c>
      <c r="B16" s="1173"/>
      <c r="C16" s="1173"/>
      <c r="D16" s="1173"/>
      <c r="E16" s="1229"/>
      <c r="F16" s="1231"/>
      <c r="G16" s="21"/>
    </row>
    <row r="17" spans="1:9" x14ac:dyDescent="0.25">
      <c r="A17" s="442"/>
      <c r="B17" s="442"/>
      <c r="C17" s="442"/>
      <c r="D17" s="442"/>
      <c r="E17" s="443"/>
      <c r="F17" s="444"/>
      <c r="G17" s="445"/>
    </row>
    <row r="18" spans="1:9" x14ac:dyDescent="0.25">
      <c r="A18" s="61" t="s">
        <v>677</v>
      </c>
      <c r="B18" s="61" t="s">
        <v>130</v>
      </c>
    </row>
    <row r="19" spans="1:9" s="12" customFormat="1" ht="15" customHeight="1" x14ac:dyDescent="0.25">
      <c r="A19" s="1232" t="s">
        <v>121</v>
      </c>
      <c r="B19" s="1233"/>
      <c r="C19" s="1234"/>
      <c r="D19" s="1238" t="s">
        <v>122</v>
      </c>
      <c r="E19" s="1238" t="s">
        <v>123</v>
      </c>
      <c r="F19" s="1238" t="s">
        <v>727</v>
      </c>
      <c r="G19" s="1238" t="s">
        <v>726</v>
      </c>
    </row>
    <row r="20" spans="1:9" s="12" customFormat="1" ht="15" customHeight="1" x14ac:dyDescent="0.25">
      <c r="A20" s="1235"/>
      <c r="B20" s="1236"/>
      <c r="C20" s="1237"/>
      <c r="D20" s="1239"/>
      <c r="E20" s="1239"/>
      <c r="F20" s="1239"/>
      <c r="G20" s="1239"/>
    </row>
    <row r="21" spans="1:9" ht="15" customHeight="1" x14ac:dyDescent="0.25">
      <c r="A21" s="499">
        <v>0</v>
      </c>
      <c r="B21" s="500" t="s">
        <v>119</v>
      </c>
      <c r="C21" s="501">
        <v>1</v>
      </c>
      <c r="D21" s="502">
        <f>(1-$F$11)*($E$11-C21+1)/55/12</f>
        <v>1.3636363636363636E-2</v>
      </c>
      <c r="E21" s="502">
        <f t="shared" ref="E21:E31" si="0">(1-$F$11)*($E$11-C21+1)/55/12</f>
        <v>1.3636363636363636E-2</v>
      </c>
      <c r="F21" s="502">
        <f>(1-$F$14)*($E$14-C21+1)/55/12</f>
        <v>1.3636363636363636E-2</v>
      </c>
      <c r="G21" s="502">
        <f t="shared" ref="G21:G32" si="1">(1-$F$15)*($E$15-C21+1)/78/12</f>
        <v>1.2179487179487178E-2</v>
      </c>
      <c r="H21" s="503"/>
      <c r="I21" s="504">
        <f>E21*12</f>
        <v>0.16363636363636364</v>
      </c>
    </row>
    <row r="22" spans="1:9" ht="15" customHeight="1" x14ac:dyDescent="0.25">
      <c r="A22" s="499">
        <v>1</v>
      </c>
      <c r="B22" s="500" t="s">
        <v>119</v>
      </c>
      <c r="C22" s="501">
        <v>2</v>
      </c>
      <c r="D22" s="502">
        <f t="shared" ref="D22:D31" si="2">(1-$F$11)*($E$11-C22+1)/55/12</f>
        <v>1.2272727272727274E-2</v>
      </c>
      <c r="E22" s="502">
        <f t="shared" si="0"/>
        <v>1.2272727272727274E-2</v>
      </c>
      <c r="F22" s="502">
        <f t="shared" ref="F22:F31" si="3">(1-$F$14)*($E$14-C22+1)/55/12</f>
        <v>1.2272727272727274E-2</v>
      </c>
      <c r="G22" s="502">
        <f t="shared" si="1"/>
        <v>1.1164529914529915E-2</v>
      </c>
      <c r="I22" s="504">
        <f t="shared" ref="I22:I31" si="4">E22*12</f>
        <v>0.14727272727272728</v>
      </c>
    </row>
    <row r="23" spans="1:9" ht="15" customHeight="1" x14ac:dyDescent="0.25">
      <c r="A23" s="499">
        <v>2</v>
      </c>
      <c r="B23" s="500" t="s">
        <v>119</v>
      </c>
      <c r="C23" s="501">
        <v>3</v>
      </c>
      <c r="D23" s="502">
        <f t="shared" si="2"/>
        <v>1.090909090909091E-2</v>
      </c>
      <c r="E23" s="502">
        <f t="shared" si="0"/>
        <v>1.090909090909091E-2</v>
      </c>
      <c r="F23" s="502">
        <f t="shared" si="3"/>
        <v>1.090909090909091E-2</v>
      </c>
      <c r="G23" s="502">
        <f t="shared" si="1"/>
        <v>1.014957264957265E-2</v>
      </c>
      <c r="I23" s="504">
        <f t="shared" si="4"/>
        <v>0.13090909090909092</v>
      </c>
    </row>
    <row r="24" spans="1:9" ht="15" customHeight="1" x14ac:dyDescent="0.25">
      <c r="A24" s="499">
        <v>3</v>
      </c>
      <c r="B24" s="500" t="s">
        <v>119</v>
      </c>
      <c r="C24" s="501">
        <v>4</v>
      </c>
      <c r="D24" s="502">
        <f t="shared" si="2"/>
        <v>9.5454545454545462E-3</v>
      </c>
      <c r="E24" s="502">
        <f t="shared" si="0"/>
        <v>9.5454545454545462E-3</v>
      </c>
      <c r="F24" s="502">
        <f>(1-$F$14)*($E$14-C24+1)/55/12</f>
        <v>9.5454545454545462E-3</v>
      </c>
      <c r="G24" s="502">
        <f t="shared" si="1"/>
        <v>9.1346153846153834E-3</v>
      </c>
      <c r="I24" s="504">
        <f t="shared" si="4"/>
        <v>0.11454545454545456</v>
      </c>
    </row>
    <row r="25" spans="1:9" ht="15" customHeight="1" x14ac:dyDescent="0.25">
      <c r="A25" s="499">
        <v>4</v>
      </c>
      <c r="B25" s="500" t="s">
        <v>119</v>
      </c>
      <c r="C25" s="501">
        <v>5</v>
      </c>
      <c r="D25" s="502">
        <f t="shared" si="2"/>
        <v>8.1818181818181825E-3</v>
      </c>
      <c r="E25" s="502">
        <f t="shared" si="0"/>
        <v>8.1818181818181825E-3</v>
      </c>
      <c r="F25" s="502">
        <f t="shared" si="3"/>
        <v>8.1818181818181825E-3</v>
      </c>
      <c r="G25" s="502">
        <f t="shared" si="1"/>
        <v>8.1196581196581203E-3</v>
      </c>
      <c r="I25" s="504">
        <f t="shared" si="4"/>
        <v>9.818181818181819E-2</v>
      </c>
    </row>
    <row r="26" spans="1:9" ht="15" customHeight="1" x14ac:dyDescent="0.25">
      <c r="A26" s="499">
        <v>5</v>
      </c>
      <c r="B26" s="500" t="s">
        <v>119</v>
      </c>
      <c r="C26" s="501">
        <v>6</v>
      </c>
      <c r="D26" s="502">
        <f t="shared" si="2"/>
        <v>6.8181818181818179E-3</v>
      </c>
      <c r="E26" s="502">
        <f t="shared" si="0"/>
        <v>6.8181818181818179E-3</v>
      </c>
      <c r="F26" s="502">
        <f t="shared" si="3"/>
        <v>6.8181818181818179E-3</v>
      </c>
      <c r="G26" s="502">
        <f t="shared" si="1"/>
        <v>7.1047008547008537E-3</v>
      </c>
      <c r="I26" s="504">
        <f>E26*12</f>
        <v>8.1818181818181818E-2</v>
      </c>
    </row>
    <row r="27" spans="1:9" ht="15" customHeight="1" x14ac:dyDescent="0.25">
      <c r="A27" s="499">
        <v>6</v>
      </c>
      <c r="B27" s="500" t="s">
        <v>119</v>
      </c>
      <c r="C27" s="501">
        <v>7</v>
      </c>
      <c r="D27" s="502">
        <f t="shared" si="2"/>
        <v>5.454545454545455E-3</v>
      </c>
      <c r="E27" s="502">
        <f t="shared" si="0"/>
        <v>5.454545454545455E-3</v>
      </c>
      <c r="F27" s="502">
        <f t="shared" si="3"/>
        <v>5.454545454545455E-3</v>
      </c>
      <c r="G27" s="502">
        <f t="shared" si="1"/>
        <v>6.0897435897435889E-3</v>
      </c>
      <c r="I27" s="504">
        <f t="shared" si="4"/>
        <v>6.545454545454546E-2</v>
      </c>
    </row>
    <row r="28" spans="1:9" ht="15" customHeight="1" x14ac:dyDescent="0.25">
      <c r="A28" s="499">
        <v>7</v>
      </c>
      <c r="B28" s="500" t="s">
        <v>119</v>
      </c>
      <c r="C28" s="501">
        <v>8</v>
      </c>
      <c r="D28" s="502">
        <f t="shared" si="2"/>
        <v>4.0909090909090912E-3</v>
      </c>
      <c r="E28" s="502">
        <f t="shared" si="0"/>
        <v>4.0909090909090912E-3</v>
      </c>
      <c r="F28" s="502">
        <f t="shared" si="3"/>
        <v>4.0909090909090912E-3</v>
      </c>
      <c r="G28" s="502">
        <f t="shared" si="1"/>
        <v>5.074786324786325E-3</v>
      </c>
      <c r="I28" s="504">
        <f t="shared" si="4"/>
        <v>4.9090909090909095E-2</v>
      </c>
    </row>
    <row r="29" spans="1:9" ht="15" customHeight="1" x14ac:dyDescent="0.25">
      <c r="A29" s="499">
        <v>8</v>
      </c>
      <c r="B29" s="500" t="s">
        <v>119</v>
      </c>
      <c r="C29" s="501">
        <v>9</v>
      </c>
      <c r="D29" s="502">
        <f t="shared" si="2"/>
        <v>2.7272727272727275E-3</v>
      </c>
      <c r="E29" s="502">
        <f t="shared" si="0"/>
        <v>2.7272727272727275E-3</v>
      </c>
      <c r="F29" s="502">
        <f t="shared" si="3"/>
        <v>2.7272727272727275E-3</v>
      </c>
      <c r="G29" s="502">
        <f t="shared" si="1"/>
        <v>4.0598290598290602E-3</v>
      </c>
      <c r="I29" s="504">
        <f t="shared" si="4"/>
        <v>3.272727272727273E-2</v>
      </c>
    </row>
    <row r="30" spans="1:9" ht="15" customHeight="1" x14ac:dyDescent="0.25">
      <c r="A30" s="499">
        <v>9</v>
      </c>
      <c r="B30" s="500" t="s">
        <v>119</v>
      </c>
      <c r="C30" s="501">
        <v>10</v>
      </c>
      <c r="D30" s="502">
        <f t="shared" si="2"/>
        <v>1.3636363636363637E-3</v>
      </c>
      <c r="E30" s="502">
        <f t="shared" si="0"/>
        <v>1.3636363636363637E-3</v>
      </c>
      <c r="F30" s="502">
        <f t="shared" si="3"/>
        <v>1.3636363636363637E-3</v>
      </c>
      <c r="G30" s="502">
        <f t="shared" si="1"/>
        <v>3.0448717948717945E-3</v>
      </c>
      <c r="I30" s="504">
        <f t="shared" si="4"/>
        <v>1.6363636363636365E-2</v>
      </c>
    </row>
    <row r="31" spans="1:9" ht="15" customHeight="1" x14ac:dyDescent="0.25">
      <c r="A31" s="499">
        <v>10</v>
      </c>
      <c r="B31" s="500" t="s">
        <v>119</v>
      </c>
      <c r="C31" s="501">
        <v>11</v>
      </c>
      <c r="D31" s="502">
        <f t="shared" si="2"/>
        <v>0</v>
      </c>
      <c r="E31" s="502">
        <f t="shared" si="0"/>
        <v>0</v>
      </c>
      <c r="F31" s="502">
        <f t="shared" si="3"/>
        <v>0</v>
      </c>
      <c r="G31" s="502">
        <f t="shared" si="1"/>
        <v>2.0299145299145301E-3</v>
      </c>
      <c r="I31" s="504">
        <f t="shared" si="4"/>
        <v>0</v>
      </c>
    </row>
    <row r="32" spans="1:9" ht="15" customHeight="1" x14ac:dyDescent="0.25">
      <c r="A32" s="499">
        <v>11</v>
      </c>
      <c r="B32" s="500" t="s">
        <v>119</v>
      </c>
      <c r="C32" s="501">
        <v>12</v>
      </c>
      <c r="D32" s="502"/>
      <c r="E32" s="502"/>
      <c r="F32" s="502"/>
      <c r="G32" s="502">
        <f t="shared" si="1"/>
        <v>1.014957264957265E-3</v>
      </c>
    </row>
    <row r="33" spans="1:12" ht="15" customHeight="1" x14ac:dyDescent="0.25">
      <c r="A33" s="499"/>
      <c r="B33" s="500" t="s">
        <v>120</v>
      </c>
      <c r="C33" s="501">
        <v>12</v>
      </c>
      <c r="D33" s="502"/>
      <c r="E33" s="502"/>
      <c r="F33" s="502"/>
      <c r="G33" s="502">
        <f>(1-$F$15)*($E$15-C33)/78/12</f>
        <v>0</v>
      </c>
    </row>
    <row r="34" spans="1:12" ht="15" customHeight="1" x14ac:dyDescent="0.25">
      <c r="A34" s="61"/>
      <c r="B34" s="61"/>
      <c r="C34" s="61"/>
      <c r="D34" s="61"/>
    </row>
    <row r="35" spans="1:12" ht="15.75" thickBot="1" x14ac:dyDescent="0.3">
      <c r="A35" s="61" t="s">
        <v>678</v>
      </c>
      <c r="B35" s="61" t="s">
        <v>125</v>
      </c>
    </row>
    <row r="36" spans="1:12" x14ac:dyDescent="0.25">
      <c r="A36" s="1279" t="s">
        <v>8</v>
      </c>
      <c r="B36" s="1280"/>
      <c r="C36" s="1280"/>
      <c r="D36" s="1280"/>
      <c r="E36" s="1268" t="s">
        <v>115</v>
      </c>
      <c r="F36" s="1270" t="s">
        <v>6</v>
      </c>
      <c r="G36" s="1271"/>
      <c r="H36" s="1270" t="s">
        <v>7</v>
      </c>
      <c r="I36" s="1278"/>
    </row>
    <row r="37" spans="1:12" ht="15.75" thickBot="1" x14ac:dyDescent="0.3">
      <c r="A37" s="1281"/>
      <c r="B37" s="1282"/>
      <c r="C37" s="1282"/>
      <c r="D37" s="1282"/>
      <c r="E37" s="1269"/>
      <c r="F37" s="447" t="s">
        <v>9</v>
      </c>
      <c r="G37" s="447" t="s">
        <v>10</v>
      </c>
      <c r="H37" s="447" t="s">
        <v>9</v>
      </c>
      <c r="I37" s="505" t="s">
        <v>10</v>
      </c>
    </row>
    <row r="38" spans="1:12" x14ac:dyDescent="0.25">
      <c r="A38" s="1272" t="s">
        <v>124</v>
      </c>
      <c r="B38" s="1273"/>
      <c r="C38" s="1273"/>
      <c r="D38" s="1274"/>
      <c r="E38" s="448">
        <v>0</v>
      </c>
      <c r="F38" s="449">
        <f>'ANTP_1.3 Frota Total'!E33</f>
        <v>0</v>
      </c>
      <c r="G38" s="449">
        <f>'ANTP_1.3 Frota Total'!F33</f>
        <v>0</v>
      </c>
      <c r="H38" s="449">
        <f>'ANTP_1.3 Frota Total'!G33</f>
        <v>0</v>
      </c>
      <c r="I38" s="461">
        <f>'ANTP_1.3 Frota Total'!H33</f>
        <v>0</v>
      </c>
      <c r="L38" s="286"/>
    </row>
    <row r="39" spans="1:12" x14ac:dyDescent="0.25">
      <c r="A39" s="1251"/>
      <c r="B39" s="1252"/>
      <c r="C39" s="1252"/>
      <c r="D39" s="1253"/>
      <c r="E39" s="452">
        <v>1</v>
      </c>
      <c r="F39" s="453">
        <f>'ANTP_1.3 Frota Total'!E34</f>
        <v>0</v>
      </c>
      <c r="G39" s="453">
        <f>'ANTP_1.3 Frota Total'!F34</f>
        <v>0</v>
      </c>
      <c r="H39" s="453">
        <f>'ANTP_1.3 Frota Total'!G34</f>
        <v>0</v>
      </c>
      <c r="I39" s="462">
        <f>'ANTP_1.3 Frota Total'!H34</f>
        <v>0</v>
      </c>
    </row>
    <row r="40" spans="1:12" x14ac:dyDescent="0.25">
      <c r="A40" s="1251"/>
      <c r="B40" s="1252"/>
      <c r="C40" s="1252"/>
      <c r="D40" s="1253"/>
      <c r="E40" s="452">
        <v>2</v>
      </c>
      <c r="F40" s="453">
        <f>'ANTP_1.3 Frota Total'!E35</f>
        <v>0</v>
      </c>
      <c r="G40" s="453">
        <f>'ANTP_1.3 Frota Total'!F35</f>
        <v>0</v>
      </c>
      <c r="H40" s="453">
        <f>'ANTP_1.3 Frota Total'!G35</f>
        <v>0</v>
      </c>
      <c r="I40" s="462">
        <f>'ANTP_1.3 Frota Total'!H35</f>
        <v>0</v>
      </c>
    </row>
    <row r="41" spans="1:12" x14ac:dyDescent="0.25">
      <c r="A41" s="1251"/>
      <c r="B41" s="1252"/>
      <c r="C41" s="1252"/>
      <c r="D41" s="1253"/>
      <c r="E41" s="452">
        <v>3</v>
      </c>
      <c r="F41" s="453">
        <f>'ANTP_1.3 Frota Total'!E36</f>
        <v>0</v>
      </c>
      <c r="G41" s="453">
        <f>'ANTP_1.3 Frota Total'!F36</f>
        <v>0</v>
      </c>
      <c r="H41" s="453">
        <f>'ANTP_1.3 Frota Total'!G36</f>
        <v>0</v>
      </c>
      <c r="I41" s="462">
        <f>'ANTP_1.3 Frota Total'!H36</f>
        <v>0</v>
      </c>
    </row>
    <row r="42" spans="1:12" x14ac:dyDescent="0.25">
      <c r="A42" s="1251"/>
      <c r="B42" s="1252"/>
      <c r="C42" s="1252"/>
      <c r="D42" s="1253"/>
      <c r="E42" s="452">
        <v>4</v>
      </c>
      <c r="F42" s="453">
        <f>'ANTP_1.3 Frota Total'!E37</f>
        <v>0</v>
      </c>
      <c r="G42" s="453">
        <f>'ANTP_1.3 Frota Total'!F37</f>
        <v>0</v>
      </c>
      <c r="H42" s="453">
        <f>'ANTP_1.3 Frota Total'!G37</f>
        <v>0</v>
      </c>
      <c r="I42" s="462">
        <f>'ANTP_1.3 Frota Total'!H37</f>
        <v>0</v>
      </c>
    </row>
    <row r="43" spans="1:12" ht="15.75" thickBot="1" x14ac:dyDescent="0.3">
      <c r="A43" s="1275"/>
      <c r="B43" s="1276"/>
      <c r="C43" s="1276"/>
      <c r="D43" s="1277"/>
      <c r="E43" s="457">
        <v>5</v>
      </c>
      <c r="F43" s="458">
        <f>'ANTP_1.3 Frota Total'!E38</f>
        <v>0</v>
      </c>
      <c r="G43" s="458">
        <f>'ANTP_1.3 Frota Total'!F38</f>
        <v>0</v>
      </c>
      <c r="H43" s="458">
        <f>'ANTP_1.3 Frota Total'!G38</f>
        <v>0</v>
      </c>
      <c r="I43" s="463">
        <f>'ANTP_1.3 Frota Total'!H38</f>
        <v>0</v>
      </c>
    </row>
    <row r="44" spans="1:12" x14ac:dyDescent="0.25">
      <c r="A44" s="1272" t="s">
        <v>12</v>
      </c>
      <c r="B44" s="1273"/>
      <c r="C44" s="1273"/>
      <c r="D44" s="1274"/>
      <c r="E44" s="448">
        <v>0</v>
      </c>
      <c r="F44" s="449">
        <f>'ANTP_1.3 Frota Total'!E39</f>
        <v>0</v>
      </c>
      <c r="G44" s="449">
        <f>'ANTP_1.3 Frota Total'!F39</f>
        <v>0</v>
      </c>
      <c r="H44" s="449">
        <f>'ANTP_1.3 Frota Total'!G39</f>
        <v>0</v>
      </c>
      <c r="I44" s="461">
        <f>'ANTP_1.3 Frota Total'!H39</f>
        <v>0</v>
      </c>
    </row>
    <row r="45" spans="1:12" x14ac:dyDescent="0.25">
      <c r="A45" s="1251"/>
      <c r="B45" s="1252"/>
      <c r="C45" s="1252"/>
      <c r="D45" s="1253"/>
      <c r="E45" s="452">
        <v>1</v>
      </c>
      <c r="F45" s="453">
        <f>'ANTP_1.3 Frota Total'!E40</f>
        <v>0</v>
      </c>
      <c r="G45" s="453">
        <f>'ANTP_1.3 Frota Total'!F40</f>
        <v>0</v>
      </c>
      <c r="H45" s="453">
        <f>'ANTP_1.3 Frota Total'!G40</f>
        <v>0</v>
      </c>
      <c r="I45" s="462">
        <f>'ANTP_1.3 Frota Total'!H40</f>
        <v>0</v>
      </c>
    </row>
    <row r="46" spans="1:12" x14ac:dyDescent="0.25">
      <c r="A46" s="1251"/>
      <c r="B46" s="1252"/>
      <c r="C46" s="1252"/>
      <c r="D46" s="1253"/>
      <c r="E46" s="452">
        <v>2</v>
      </c>
      <c r="F46" s="453">
        <f>'ANTP_1.3 Frota Total'!E41</f>
        <v>0</v>
      </c>
      <c r="G46" s="453">
        <f>'ANTP_1.3 Frota Total'!F41</f>
        <v>0</v>
      </c>
      <c r="H46" s="453">
        <f>'ANTP_1.3 Frota Total'!G41</f>
        <v>0</v>
      </c>
      <c r="I46" s="462">
        <f>'ANTP_1.3 Frota Total'!H41</f>
        <v>0</v>
      </c>
    </row>
    <row r="47" spans="1:12" x14ac:dyDescent="0.25">
      <c r="A47" s="1251"/>
      <c r="B47" s="1252"/>
      <c r="C47" s="1252"/>
      <c r="D47" s="1253"/>
      <c r="E47" s="452">
        <v>3</v>
      </c>
      <c r="F47" s="453">
        <f>'ANTP_1.3 Frota Total'!E42</f>
        <v>0</v>
      </c>
      <c r="G47" s="453">
        <f>'ANTP_1.3 Frota Total'!F42</f>
        <v>0</v>
      </c>
      <c r="H47" s="453">
        <f>'ANTP_1.3 Frota Total'!G42</f>
        <v>0</v>
      </c>
      <c r="I47" s="462">
        <f>'ANTP_1.3 Frota Total'!H42</f>
        <v>0</v>
      </c>
    </row>
    <row r="48" spans="1:12" x14ac:dyDescent="0.25">
      <c r="A48" s="1251"/>
      <c r="B48" s="1252"/>
      <c r="C48" s="1252"/>
      <c r="D48" s="1253"/>
      <c r="E48" s="452">
        <v>4</v>
      </c>
      <c r="F48" s="453">
        <f>'ANTP_1.3 Frota Total'!E43</f>
        <v>0</v>
      </c>
      <c r="G48" s="453">
        <f>'ANTP_1.3 Frota Total'!F43</f>
        <v>0</v>
      </c>
      <c r="H48" s="453">
        <f>'ANTP_1.3 Frota Total'!G43</f>
        <v>0</v>
      </c>
      <c r="I48" s="462">
        <f>'ANTP_1.3 Frota Total'!H43</f>
        <v>0</v>
      </c>
    </row>
    <row r="49" spans="1:9" x14ac:dyDescent="0.25">
      <c r="A49" s="1251"/>
      <c r="B49" s="1252"/>
      <c r="C49" s="1252"/>
      <c r="D49" s="1253"/>
      <c r="E49" s="468">
        <v>5</v>
      </c>
      <c r="F49" s="474">
        <f>'ANTP_1.3 Frota Total'!E44</f>
        <v>0</v>
      </c>
      <c r="G49" s="474">
        <f>'ANTP_1.3 Frota Total'!F44</f>
        <v>0</v>
      </c>
      <c r="H49" s="474">
        <f>'ANTP_1.3 Frota Total'!G44</f>
        <v>0</v>
      </c>
      <c r="I49" s="475">
        <f>'ANTP_1.3 Frota Total'!H44</f>
        <v>0</v>
      </c>
    </row>
    <row r="50" spans="1:9" x14ac:dyDescent="0.25">
      <c r="A50" s="1251"/>
      <c r="B50" s="1252"/>
      <c r="C50" s="1252"/>
      <c r="D50" s="1253"/>
      <c r="E50" s="468">
        <v>6</v>
      </c>
      <c r="F50" s="474">
        <f>'ANTP_1.3 Frota Total'!E45</f>
        <v>0</v>
      </c>
      <c r="G50" s="474">
        <f>'ANTP_1.3 Frota Total'!F45</f>
        <v>0</v>
      </c>
      <c r="H50" s="474">
        <f>'ANTP_1.3 Frota Total'!G45</f>
        <v>0</v>
      </c>
      <c r="I50" s="475">
        <f>'ANTP_1.3 Frota Total'!H45</f>
        <v>0</v>
      </c>
    </row>
    <row r="51" spans="1:9" x14ac:dyDescent="0.25">
      <c r="A51" s="1251"/>
      <c r="B51" s="1252"/>
      <c r="C51" s="1252"/>
      <c r="D51" s="1253"/>
      <c r="E51" s="468">
        <v>7</v>
      </c>
      <c r="F51" s="474">
        <f>'ANTP_1.3 Frota Total'!E46</f>
        <v>0</v>
      </c>
      <c r="G51" s="474">
        <f>'ANTP_1.3 Frota Total'!F46</f>
        <v>0</v>
      </c>
      <c r="H51" s="474">
        <f>'ANTP_1.3 Frota Total'!G46</f>
        <v>0</v>
      </c>
      <c r="I51" s="475">
        <f>'ANTP_1.3 Frota Total'!H46</f>
        <v>0</v>
      </c>
    </row>
    <row r="52" spans="1:9" x14ac:dyDescent="0.25">
      <c r="A52" s="1251"/>
      <c r="B52" s="1252"/>
      <c r="C52" s="1252"/>
      <c r="D52" s="1253"/>
      <c r="E52" s="468">
        <v>8</v>
      </c>
      <c r="F52" s="474">
        <f>'ANTP_1.3 Frota Total'!E47</f>
        <v>0</v>
      </c>
      <c r="G52" s="474">
        <f>'ANTP_1.3 Frota Total'!F47</f>
        <v>0</v>
      </c>
      <c r="H52" s="474">
        <f>'ANTP_1.3 Frota Total'!G47</f>
        <v>0</v>
      </c>
      <c r="I52" s="475">
        <f>'ANTP_1.3 Frota Total'!H47</f>
        <v>0</v>
      </c>
    </row>
    <row r="53" spans="1:9" x14ac:dyDescent="0.25">
      <c r="A53" s="1251"/>
      <c r="B53" s="1252"/>
      <c r="C53" s="1252"/>
      <c r="D53" s="1253"/>
      <c r="E53" s="468">
        <v>9</v>
      </c>
      <c r="F53" s="474">
        <f>'ANTP_1.3 Frota Total'!E48</f>
        <v>0</v>
      </c>
      <c r="G53" s="474">
        <f>'ANTP_1.3 Frota Total'!F48</f>
        <v>0</v>
      </c>
      <c r="H53" s="474">
        <f>'ANTP_1.3 Frota Total'!G48</f>
        <v>0</v>
      </c>
      <c r="I53" s="475">
        <f>'ANTP_1.3 Frota Total'!H48</f>
        <v>0</v>
      </c>
    </row>
    <row r="54" spans="1:9" ht="15.75" thickBot="1" x14ac:dyDescent="0.3">
      <c r="A54" s="1275"/>
      <c r="B54" s="1276"/>
      <c r="C54" s="1276"/>
      <c r="D54" s="1277"/>
      <c r="E54" s="468">
        <v>10</v>
      </c>
      <c r="F54" s="474">
        <f>'ANTP_1.3 Frota Total'!E49</f>
        <v>0</v>
      </c>
      <c r="G54" s="474">
        <f>'ANTP_1.3 Frota Total'!F49</f>
        <v>0</v>
      </c>
      <c r="H54" s="474">
        <f>'ANTP_1.3 Frota Total'!G49</f>
        <v>0</v>
      </c>
      <c r="I54" s="475">
        <f>'ANTP_1.3 Frota Total'!H49</f>
        <v>0</v>
      </c>
    </row>
    <row r="55" spans="1:9" x14ac:dyDescent="0.25">
      <c r="A55" s="1272" t="s">
        <v>13</v>
      </c>
      <c r="B55" s="1273"/>
      <c r="C55" s="1273"/>
      <c r="D55" s="1274"/>
      <c r="E55" s="448">
        <v>0</v>
      </c>
      <c r="F55" s="449">
        <f>'ANTP_1.3 Frota Total'!E50</f>
        <v>0</v>
      </c>
      <c r="G55" s="449">
        <f>'ANTP_1.3 Frota Total'!F50</f>
        <v>0</v>
      </c>
      <c r="H55" s="449">
        <f>'ANTP_1.3 Frota Total'!G50</f>
        <v>0</v>
      </c>
      <c r="I55" s="461">
        <f>'ANTP_1.3 Frota Total'!H50</f>
        <v>0</v>
      </c>
    </row>
    <row r="56" spans="1:9" x14ac:dyDescent="0.25">
      <c r="A56" s="1251"/>
      <c r="B56" s="1252"/>
      <c r="C56" s="1252"/>
      <c r="D56" s="1253"/>
      <c r="E56" s="452">
        <v>1</v>
      </c>
      <c r="F56" s="453">
        <f>'ANTP_1.3 Frota Total'!E51</f>
        <v>0</v>
      </c>
      <c r="G56" s="453">
        <f>'ANTP_1.3 Frota Total'!F51</f>
        <v>0</v>
      </c>
      <c r="H56" s="453">
        <f>'ANTP_1.3 Frota Total'!G51</f>
        <v>0</v>
      </c>
      <c r="I56" s="462">
        <f>'ANTP_1.3 Frota Total'!H51</f>
        <v>0</v>
      </c>
    </row>
    <row r="57" spans="1:9" x14ac:dyDescent="0.25">
      <c r="A57" s="1251"/>
      <c r="B57" s="1252"/>
      <c r="C57" s="1252"/>
      <c r="D57" s="1253"/>
      <c r="E57" s="452">
        <v>2</v>
      </c>
      <c r="F57" s="453">
        <f>'ANTP_1.3 Frota Total'!E52</f>
        <v>0</v>
      </c>
      <c r="G57" s="453">
        <f>'ANTP_1.3 Frota Total'!F52</f>
        <v>0</v>
      </c>
      <c r="H57" s="453">
        <f>'ANTP_1.3 Frota Total'!G52</f>
        <v>0</v>
      </c>
      <c r="I57" s="462">
        <f>'ANTP_1.3 Frota Total'!H52</f>
        <v>0</v>
      </c>
    </row>
    <row r="58" spans="1:9" x14ac:dyDescent="0.25">
      <c r="A58" s="1251"/>
      <c r="B58" s="1252"/>
      <c r="C58" s="1252"/>
      <c r="D58" s="1253"/>
      <c r="E58" s="452">
        <v>3</v>
      </c>
      <c r="F58" s="453">
        <f>'ANTP_1.3 Frota Total'!E53</f>
        <v>0</v>
      </c>
      <c r="G58" s="453">
        <f>'ANTP_1.3 Frota Total'!F53</f>
        <v>0</v>
      </c>
      <c r="H58" s="453">
        <f>'ANTP_1.3 Frota Total'!G53</f>
        <v>0</v>
      </c>
      <c r="I58" s="462">
        <f>'ANTP_1.3 Frota Total'!H53</f>
        <v>0</v>
      </c>
    </row>
    <row r="59" spans="1:9" x14ac:dyDescent="0.25">
      <c r="A59" s="1251"/>
      <c r="B59" s="1252"/>
      <c r="C59" s="1252"/>
      <c r="D59" s="1253"/>
      <c r="E59" s="452">
        <v>4</v>
      </c>
      <c r="F59" s="453">
        <f>'ANTP_1.3 Frota Total'!E54</f>
        <v>0</v>
      </c>
      <c r="G59" s="453">
        <f>'ANTP_1.3 Frota Total'!F54</f>
        <v>0</v>
      </c>
      <c r="H59" s="453">
        <f>'ANTP_1.3 Frota Total'!G54</f>
        <v>0</v>
      </c>
      <c r="I59" s="462">
        <f>'ANTP_1.3 Frota Total'!H54</f>
        <v>0</v>
      </c>
    </row>
    <row r="60" spans="1:9" x14ac:dyDescent="0.25">
      <c r="A60" s="1251"/>
      <c r="B60" s="1252"/>
      <c r="C60" s="1252"/>
      <c r="D60" s="1253"/>
      <c r="E60" s="452">
        <v>5</v>
      </c>
      <c r="F60" s="453">
        <f>'ANTP_1.3 Frota Total'!E55</f>
        <v>0</v>
      </c>
      <c r="G60" s="453">
        <f>'ANTP_1.3 Frota Total'!F55</f>
        <v>0</v>
      </c>
      <c r="H60" s="453">
        <f>'ANTP_1.3 Frota Total'!G55</f>
        <v>0</v>
      </c>
      <c r="I60" s="462">
        <f>'ANTP_1.3 Frota Total'!H55</f>
        <v>0</v>
      </c>
    </row>
    <row r="61" spans="1:9" x14ac:dyDescent="0.25">
      <c r="A61" s="1251"/>
      <c r="B61" s="1252"/>
      <c r="C61" s="1252"/>
      <c r="D61" s="1253"/>
      <c r="E61" s="452">
        <v>6</v>
      </c>
      <c r="F61" s="453">
        <f>'ANTP_1.3 Frota Total'!E56</f>
        <v>0</v>
      </c>
      <c r="G61" s="453">
        <f>'ANTP_1.3 Frota Total'!F56</f>
        <v>0</v>
      </c>
      <c r="H61" s="453">
        <f>'ANTP_1.3 Frota Total'!G56</f>
        <v>0</v>
      </c>
      <c r="I61" s="462">
        <f>'ANTP_1.3 Frota Total'!H56</f>
        <v>0</v>
      </c>
    </row>
    <row r="62" spans="1:9" x14ac:dyDescent="0.25">
      <c r="A62" s="1251"/>
      <c r="B62" s="1252"/>
      <c r="C62" s="1252"/>
      <c r="D62" s="1253"/>
      <c r="E62" s="452">
        <v>7</v>
      </c>
      <c r="F62" s="453">
        <f>'ANTP_1.3 Frota Total'!E57</f>
        <v>0</v>
      </c>
      <c r="G62" s="453">
        <f>'ANTP_1.3 Frota Total'!F57</f>
        <v>0</v>
      </c>
      <c r="H62" s="453">
        <f>'ANTP_1.3 Frota Total'!G57</f>
        <v>0</v>
      </c>
      <c r="I62" s="462">
        <f>'ANTP_1.3 Frota Total'!H57</f>
        <v>0</v>
      </c>
    </row>
    <row r="63" spans="1:9" x14ac:dyDescent="0.25">
      <c r="A63" s="1251"/>
      <c r="B63" s="1252"/>
      <c r="C63" s="1252"/>
      <c r="D63" s="1253"/>
      <c r="E63" s="452">
        <v>8</v>
      </c>
      <c r="F63" s="453">
        <f>'ANTP_1.3 Frota Total'!E58</f>
        <v>0</v>
      </c>
      <c r="G63" s="453">
        <f>'ANTP_1.3 Frota Total'!F58</f>
        <v>0</v>
      </c>
      <c r="H63" s="453">
        <f>'ANTP_1.3 Frota Total'!G58</f>
        <v>0</v>
      </c>
      <c r="I63" s="462">
        <f>'ANTP_1.3 Frota Total'!H58</f>
        <v>0</v>
      </c>
    </row>
    <row r="64" spans="1:9" x14ac:dyDescent="0.25">
      <c r="A64" s="1251"/>
      <c r="B64" s="1252"/>
      <c r="C64" s="1252"/>
      <c r="D64" s="1253"/>
      <c r="E64" s="452">
        <v>9</v>
      </c>
      <c r="F64" s="453">
        <f>'ANTP_1.3 Frota Total'!E59</f>
        <v>0</v>
      </c>
      <c r="G64" s="453">
        <f>'ANTP_1.3 Frota Total'!F59</f>
        <v>0</v>
      </c>
      <c r="H64" s="453">
        <f>'ANTP_1.3 Frota Total'!G59</f>
        <v>0</v>
      </c>
      <c r="I64" s="462">
        <f>'ANTP_1.3 Frota Total'!H59</f>
        <v>0</v>
      </c>
    </row>
    <row r="65" spans="1:12" ht="15.75" thickBot="1" x14ac:dyDescent="0.3">
      <c r="A65" s="1275"/>
      <c r="B65" s="1276"/>
      <c r="C65" s="1276"/>
      <c r="D65" s="1277"/>
      <c r="E65" s="452">
        <v>10</v>
      </c>
      <c r="F65" s="453">
        <f>'ANTP_1.3 Frota Total'!E60</f>
        <v>0</v>
      </c>
      <c r="G65" s="453">
        <f>'ANTP_1.3 Frota Total'!F60</f>
        <v>0</v>
      </c>
      <c r="H65" s="453">
        <f>'ANTP_1.3 Frota Total'!G60</f>
        <v>0</v>
      </c>
      <c r="I65" s="462">
        <f>'ANTP_1.3 Frota Total'!H60</f>
        <v>0</v>
      </c>
    </row>
    <row r="66" spans="1:12" x14ac:dyDescent="0.25">
      <c r="A66" s="1272" t="s">
        <v>14</v>
      </c>
      <c r="B66" s="1273"/>
      <c r="C66" s="1273"/>
      <c r="D66" s="1274"/>
      <c r="E66" s="448">
        <v>0</v>
      </c>
      <c r="F66" s="449">
        <f>'ANTP_1.3 Frota Total'!E61</f>
        <v>0</v>
      </c>
      <c r="G66" s="449">
        <f>'ANTP_1.3 Frota Total'!F61</f>
        <v>0</v>
      </c>
      <c r="H66" s="449">
        <f>'ANTP_1.3 Frota Total'!G61</f>
        <v>0</v>
      </c>
      <c r="I66" s="461">
        <f>'ANTP_1.3 Frota Total'!H61</f>
        <v>0</v>
      </c>
      <c r="L66" s="286"/>
    </row>
    <row r="67" spans="1:12" x14ac:dyDescent="0.25">
      <c r="A67" s="1251"/>
      <c r="B67" s="1252"/>
      <c r="C67" s="1252"/>
      <c r="D67" s="1253"/>
      <c r="E67" s="452">
        <v>1</v>
      </c>
      <c r="F67" s="453">
        <f>'ANTP_1.3 Frota Total'!E62</f>
        <v>0</v>
      </c>
      <c r="G67" s="453">
        <f>'ANTP_1.3 Frota Total'!F62</f>
        <v>0</v>
      </c>
      <c r="H67" s="453">
        <f>'ANTP_1.3 Frota Total'!G62</f>
        <v>0</v>
      </c>
      <c r="I67" s="462">
        <f>'ANTP_1.3 Frota Total'!H62</f>
        <v>0</v>
      </c>
    </row>
    <row r="68" spans="1:12" x14ac:dyDescent="0.25">
      <c r="A68" s="1251"/>
      <c r="B68" s="1252"/>
      <c r="C68" s="1252"/>
      <c r="D68" s="1253"/>
      <c r="E68" s="452">
        <v>2</v>
      </c>
      <c r="F68" s="453">
        <f>'ANTP_1.3 Frota Total'!E63</f>
        <v>0</v>
      </c>
      <c r="G68" s="453">
        <f>'ANTP_1.3 Frota Total'!F63</f>
        <v>0</v>
      </c>
      <c r="H68" s="453">
        <f>'ANTP_1.3 Frota Total'!G63</f>
        <v>0</v>
      </c>
      <c r="I68" s="462">
        <f>'ANTP_1.3 Frota Total'!H63</f>
        <v>0</v>
      </c>
    </row>
    <row r="69" spans="1:12" x14ac:dyDescent="0.25">
      <c r="A69" s="1251"/>
      <c r="B69" s="1252"/>
      <c r="C69" s="1252"/>
      <c r="D69" s="1253"/>
      <c r="E69" s="452">
        <v>3</v>
      </c>
      <c r="F69" s="453">
        <f>'ANTP_1.3 Frota Total'!E64</f>
        <v>0</v>
      </c>
      <c r="G69" s="453">
        <f>'ANTP_1.3 Frota Total'!F64</f>
        <v>0</v>
      </c>
      <c r="H69" s="453">
        <f>'ANTP_1.3 Frota Total'!G64</f>
        <v>0</v>
      </c>
      <c r="I69" s="462">
        <f>'ANTP_1.3 Frota Total'!H64</f>
        <v>0</v>
      </c>
    </row>
    <row r="70" spans="1:12" x14ac:dyDescent="0.25">
      <c r="A70" s="1251"/>
      <c r="B70" s="1252"/>
      <c r="C70" s="1252"/>
      <c r="D70" s="1253"/>
      <c r="E70" s="452">
        <v>4</v>
      </c>
      <c r="F70" s="453">
        <f>'ANTP_1.3 Frota Total'!E65</f>
        <v>0</v>
      </c>
      <c r="G70" s="453">
        <f>'ANTP_1.3 Frota Total'!F65</f>
        <v>0</v>
      </c>
      <c r="H70" s="453">
        <f>'ANTP_1.3 Frota Total'!G65</f>
        <v>0</v>
      </c>
      <c r="I70" s="462">
        <f>'ANTP_1.3 Frota Total'!H65</f>
        <v>0</v>
      </c>
    </row>
    <row r="71" spans="1:12" x14ac:dyDescent="0.25">
      <c r="A71" s="1251"/>
      <c r="B71" s="1252"/>
      <c r="C71" s="1252"/>
      <c r="D71" s="1253"/>
      <c r="E71" s="452">
        <v>5</v>
      </c>
      <c r="F71" s="453">
        <f>'ANTP_1.3 Frota Total'!E66</f>
        <v>4</v>
      </c>
      <c r="G71" s="453">
        <f>'ANTP_1.3 Frota Total'!F66</f>
        <v>0</v>
      </c>
      <c r="H71" s="453">
        <f>'ANTP_1.3 Frota Total'!G66</f>
        <v>0</v>
      </c>
      <c r="I71" s="462">
        <f>'ANTP_1.3 Frota Total'!H66</f>
        <v>0</v>
      </c>
    </row>
    <row r="72" spans="1:12" x14ac:dyDescent="0.25">
      <c r="A72" s="1251"/>
      <c r="B72" s="1252"/>
      <c r="C72" s="1252"/>
      <c r="D72" s="1253"/>
      <c r="E72" s="452">
        <v>6</v>
      </c>
      <c r="F72" s="453">
        <f>'ANTP_1.3 Frota Total'!E67</f>
        <v>0</v>
      </c>
      <c r="G72" s="453">
        <f>'ANTP_1.3 Frota Total'!F67</f>
        <v>0</v>
      </c>
      <c r="H72" s="453">
        <f>'ANTP_1.3 Frota Total'!G67</f>
        <v>0</v>
      </c>
      <c r="I72" s="462">
        <f>'ANTP_1.3 Frota Total'!H67</f>
        <v>0</v>
      </c>
    </row>
    <row r="73" spans="1:12" x14ac:dyDescent="0.25">
      <c r="A73" s="1251"/>
      <c r="B73" s="1252"/>
      <c r="C73" s="1252"/>
      <c r="D73" s="1253"/>
      <c r="E73" s="452">
        <v>7</v>
      </c>
      <c r="F73" s="453">
        <f>'ANTP_1.3 Frota Total'!E68</f>
        <v>3</v>
      </c>
      <c r="G73" s="453">
        <f>'ANTP_1.3 Frota Total'!F68</f>
        <v>0</v>
      </c>
      <c r="H73" s="453">
        <f>'ANTP_1.3 Frota Total'!G68</f>
        <v>0</v>
      </c>
      <c r="I73" s="462">
        <f>'ANTP_1.3 Frota Total'!H68</f>
        <v>0</v>
      </c>
    </row>
    <row r="74" spans="1:12" x14ac:dyDescent="0.25">
      <c r="A74" s="1251"/>
      <c r="B74" s="1252"/>
      <c r="C74" s="1252"/>
      <c r="D74" s="1253"/>
      <c r="E74" s="452">
        <v>8</v>
      </c>
      <c r="F74" s="453">
        <f>'ANTP_1.3 Frota Total'!E69</f>
        <v>0</v>
      </c>
      <c r="G74" s="453">
        <f>'ANTP_1.3 Frota Total'!F69</f>
        <v>0</v>
      </c>
      <c r="H74" s="453">
        <f>'ANTP_1.3 Frota Total'!G69</f>
        <v>0</v>
      </c>
      <c r="I74" s="462">
        <f>'ANTP_1.3 Frota Total'!H69</f>
        <v>0</v>
      </c>
    </row>
    <row r="75" spans="1:12" x14ac:dyDescent="0.25">
      <c r="A75" s="1251"/>
      <c r="B75" s="1252"/>
      <c r="C75" s="1252"/>
      <c r="D75" s="1253"/>
      <c r="E75" s="452">
        <v>9</v>
      </c>
      <c r="F75" s="453">
        <f>'ANTP_1.3 Frota Total'!E70</f>
        <v>4</v>
      </c>
      <c r="G75" s="453">
        <f>'ANTP_1.3 Frota Total'!F70</f>
        <v>0</v>
      </c>
      <c r="H75" s="453">
        <f>'ANTP_1.3 Frota Total'!G70</f>
        <v>0</v>
      </c>
      <c r="I75" s="462">
        <f>'ANTP_1.3 Frota Total'!H70</f>
        <v>0</v>
      </c>
    </row>
    <row r="76" spans="1:12" ht="15.75" thickBot="1" x14ac:dyDescent="0.3">
      <c r="A76" s="1275"/>
      <c r="B76" s="1276"/>
      <c r="C76" s="1276"/>
      <c r="D76" s="1277"/>
      <c r="E76" s="457">
        <v>10</v>
      </c>
      <c r="F76" s="458">
        <f>'ANTP_1.3 Frota Total'!E71</f>
        <v>0</v>
      </c>
      <c r="G76" s="458">
        <f>'ANTP_1.3 Frota Total'!F71</f>
        <v>0</v>
      </c>
      <c r="H76" s="458">
        <f>'ANTP_1.3 Frota Total'!G71</f>
        <v>0</v>
      </c>
      <c r="I76" s="463">
        <f>'ANTP_1.3 Frota Total'!H71</f>
        <v>0</v>
      </c>
    </row>
    <row r="77" spans="1:12" x14ac:dyDescent="0.25">
      <c r="A77" s="1251" t="s">
        <v>15</v>
      </c>
      <c r="B77" s="1252"/>
      <c r="C77" s="1252"/>
      <c r="D77" s="1253"/>
      <c r="E77" s="464">
        <v>0</v>
      </c>
      <c r="F77" s="465">
        <f>'ANTP_1.3 Frota Total'!E72</f>
        <v>0</v>
      </c>
      <c r="G77" s="465">
        <f>'ANTP_1.3 Frota Total'!F72</f>
        <v>0</v>
      </c>
      <c r="H77" s="465">
        <f>'ANTP_1.3 Frota Total'!G72</f>
        <v>0</v>
      </c>
      <c r="I77" s="466">
        <f>'ANTP_1.3 Frota Total'!H72</f>
        <v>0</v>
      </c>
    </row>
    <row r="78" spans="1:12" x14ac:dyDescent="0.25">
      <c r="A78" s="1251"/>
      <c r="B78" s="1252"/>
      <c r="C78" s="1252"/>
      <c r="D78" s="1253"/>
      <c r="E78" s="452">
        <v>1</v>
      </c>
      <c r="F78" s="453">
        <f>'ANTP_1.3 Frota Total'!E73</f>
        <v>0</v>
      </c>
      <c r="G78" s="453">
        <f>'ANTP_1.3 Frota Total'!F73</f>
        <v>0</v>
      </c>
      <c r="H78" s="453">
        <f>'ANTP_1.3 Frota Total'!G73</f>
        <v>0</v>
      </c>
      <c r="I78" s="462">
        <f>'ANTP_1.3 Frota Total'!H73</f>
        <v>0</v>
      </c>
    </row>
    <row r="79" spans="1:12" x14ac:dyDescent="0.25">
      <c r="A79" s="1251"/>
      <c r="B79" s="1252"/>
      <c r="C79" s="1252"/>
      <c r="D79" s="1253"/>
      <c r="E79" s="452">
        <v>2</v>
      </c>
      <c r="F79" s="453">
        <f>'ANTP_1.3 Frota Total'!E74</f>
        <v>0</v>
      </c>
      <c r="G79" s="453">
        <f>'ANTP_1.3 Frota Total'!F74</f>
        <v>0</v>
      </c>
      <c r="H79" s="453">
        <f>'ANTP_1.3 Frota Total'!G74</f>
        <v>0</v>
      </c>
      <c r="I79" s="462">
        <f>'ANTP_1.3 Frota Total'!H74</f>
        <v>0</v>
      </c>
    </row>
    <row r="80" spans="1:12" x14ac:dyDescent="0.25">
      <c r="A80" s="1251"/>
      <c r="B80" s="1252"/>
      <c r="C80" s="1252"/>
      <c r="D80" s="1253"/>
      <c r="E80" s="452">
        <v>3</v>
      </c>
      <c r="F80" s="453">
        <f>'ANTP_1.3 Frota Total'!E75</f>
        <v>0</v>
      </c>
      <c r="G80" s="453">
        <f>'ANTP_1.3 Frota Total'!F75</f>
        <v>0</v>
      </c>
      <c r="H80" s="453">
        <f>'ANTP_1.3 Frota Total'!G75</f>
        <v>0</v>
      </c>
      <c r="I80" s="462">
        <f>'ANTP_1.3 Frota Total'!H75</f>
        <v>0</v>
      </c>
    </row>
    <row r="81" spans="1:9" x14ac:dyDescent="0.25">
      <c r="A81" s="1251"/>
      <c r="B81" s="1252"/>
      <c r="C81" s="1252"/>
      <c r="D81" s="1253"/>
      <c r="E81" s="452">
        <v>4</v>
      </c>
      <c r="F81" s="453">
        <f>'ANTP_1.3 Frota Total'!E76</f>
        <v>0</v>
      </c>
      <c r="G81" s="453">
        <f>'ANTP_1.3 Frota Total'!F76</f>
        <v>0</v>
      </c>
      <c r="H81" s="453">
        <f>'ANTP_1.3 Frota Total'!G76</f>
        <v>0</v>
      </c>
      <c r="I81" s="462">
        <f>'ANTP_1.3 Frota Total'!H76</f>
        <v>0</v>
      </c>
    </row>
    <row r="82" spans="1:9" x14ac:dyDescent="0.25">
      <c r="A82" s="1251"/>
      <c r="B82" s="1252"/>
      <c r="C82" s="1252"/>
      <c r="D82" s="1253"/>
      <c r="E82" s="452">
        <v>5</v>
      </c>
      <c r="F82" s="453">
        <f>'ANTP_1.3 Frota Total'!E77</f>
        <v>0</v>
      </c>
      <c r="G82" s="453">
        <f>'ANTP_1.3 Frota Total'!F77</f>
        <v>0</v>
      </c>
      <c r="H82" s="453">
        <f>'ANTP_1.3 Frota Total'!G77</f>
        <v>0</v>
      </c>
      <c r="I82" s="462">
        <f>'ANTP_1.3 Frota Total'!H77</f>
        <v>0</v>
      </c>
    </row>
    <row r="83" spans="1:9" x14ac:dyDescent="0.25">
      <c r="A83" s="1251"/>
      <c r="B83" s="1252"/>
      <c r="C83" s="1252"/>
      <c r="D83" s="1253"/>
      <c r="E83" s="452">
        <v>6</v>
      </c>
      <c r="F83" s="453">
        <f>'ANTP_1.3 Frota Total'!E78</f>
        <v>0</v>
      </c>
      <c r="G83" s="453">
        <f>'ANTP_1.3 Frota Total'!F78</f>
        <v>0</v>
      </c>
      <c r="H83" s="453">
        <f>'ANTP_1.3 Frota Total'!G78</f>
        <v>0</v>
      </c>
      <c r="I83" s="462">
        <f>'ANTP_1.3 Frota Total'!H78</f>
        <v>0</v>
      </c>
    </row>
    <row r="84" spans="1:9" x14ac:dyDescent="0.25">
      <c r="A84" s="1251"/>
      <c r="B84" s="1252"/>
      <c r="C84" s="1252"/>
      <c r="D84" s="1253"/>
      <c r="E84" s="452">
        <v>7</v>
      </c>
      <c r="F84" s="453">
        <f>'ANTP_1.3 Frota Total'!E79</f>
        <v>0</v>
      </c>
      <c r="G84" s="453">
        <f>'ANTP_1.3 Frota Total'!F79</f>
        <v>0</v>
      </c>
      <c r="H84" s="453">
        <f>'ANTP_1.3 Frota Total'!G79</f>
        <v>0</v>
      </c>
      <c r="I84" s="462">
        <f>'ANTP_1.3 Frota Total'!H79</f>
        <v>0</v>
      </c>
    </row>
    <row r="85" spans="1:9" x14ac:dyDescent="0.25">
      <c r="A85" s="1251"/>
      <c r="B85" s="1252"/>
      <c r="C85" s="1252"/>
      <c r="D85" s="1253"/>
      <c r="E85" s="452">
        <v>8</v>
      </c>
      <c r="F85" s="453">
        <f>'ANTP_1.3 Frota Total'!E80</f>
        <v>0</v>
      </c>
      <c r="G85" s="453">
        <f>'ANTP_1.3 Frota Total'!F80</f>
        <v>0</v>
      </c>
      <c r="H85" s="453">
        <f>'ANTP_1.3 Frota Total'!G80</f>
        <v>0</v>
      </c>
      <c r="I85" s="462">
        <f>'ANTP_1.3 Frota Total'!H80</f>
        <v>0</v>
      </c>
    </row>
    <row r="86" spans="1:9" x14ac:dyDescent="0.25">
      <c r="A86" s="1251"/>
      <c r="B86" s="1252"/>
      <c r="C86" s="1252"/>
      <c r="D86" s="1253"/>
      <c r="E86" s="452">
        <v>9</v>
      </c>
      <c r="F86" s="453">
        <f>'ANTP_1.3 Frota Total'!E81</f>
        <v>0</v>
      </c>
      <c r="G86" s="453">
        <f>'ANTP_1.3 Frota Total'!F81</f>
        <v>0</v>
      </c>
      <c r="H86" s="453">
        <f>'ANTP_1.3 Frota Total'!G81</f>
        <v>0</v>
      </c>
      <c r="I86" s="462">
        <f>'ANTP_1.3 Frota Total'!H81</f>
        <v>0</v>
      </c>
    </row>
    <row r="87" spans="1:9" ht="15.75" thickBot="1" x14ac:dyDescent="0.3">
      <c r="A87" s="1251"/>
      <c r="B87" s="1252"/>
      <c r="C87" s="1252"/>
      <c r="D87" s="1253"/>
      <c r="E87" s="468">
        <v>10</v>
      </c>
      <c r="F87" s="474">
        <f>'ANTP_1.3 Frota Total'!E82</f>
        <v>0</v>
      </c>
      <c r="G87" s="474">
        <f>'ANTP_1.3 Frota Total'!F82</f>
        <v>0</v>
      </c>
      <c r="H87" s="474">
        <f>'ANTP_1.3 Frota Total'!G82</f>
        <v>0</v>
      </c>
      <c r="I87" s="475">
        <f>'ANTP_1.3 Frota Total'!H82</f>
        <v>0</v>
      </c>
    </row>
    <row r="88" spans="1:9" x14ac:dyDescent="0.25">
      <c r="A88" s="1243" t="s">
        <v>16</v>
      </c>
      <c r="B88" s="1244"/>
      <c r="C88" s="1244"/>
      <c r="D88" s="1244"/>
      <c r="E88" s="448">
        <v>0</v>
      </c>
      <c r="F88" s="449">
        <f>'ANTP_1.3 Frota Total'!E83</f>
        <v>0</v>
      </c>
      <c r="G88" s="449">
        <f>'ANTP_1.3 Frota Total'!F83</f>
        <v>0</v>
      </c>
      <c r="H88" s="449">
        <f>'ANTP_1.3 Frota Total'!G83</f>
        <v>0</v>
      </c>
      <c r="I88" s="461">
        <f>'ANTP_1.3 Frota Total'!H83</f>
        <v>0</v>
      </c>
    </row>
    <row r="89" spans="1:9" x14ac:dyDescent="0.25">
      <c r="A89" s="1245"/>
      <c r="B89" s="1246"/>
      <c r="C89" s="1246"/>
      <c r="D89" s="1246"/>
      <c r="E89" s="452">
        <v>1</v>
      </c>
      <c r="F89" s="453">
        <f>'ANTP_1.3 Frota Total'!E84</f>
        <v>0</v>
      </c>
      <c r="G89" s="453">
        <f>'ANTP_1.3 Frota Total'!F84</f>
        <v>0</v>
      </c>
      <c r="H89" s="453">
        <f>'ANTP_1.3 Frota Total'!G84</f>
        <v>0</v>
      </c>
      <c r="I89" s="462">
        <f>'ANTP_1.3 Frota Total'!H84</f>
        <v>0</v>
      </c>
    </row>
    <row r="90" spans="1:9" x14ac:dyDescent="0.25">
      <c r="A90" s="1245"/>
      <c r="B90" s="1246"/>
      <c r="C90" s="1246"/>
      <c r="D90" s="1246"/>
      <c r="E90" s="452">
        <v>2</v>
      </c>
      <c r="F90" s="453">
        <f>'ANTP_1.3 Frota Total'!E85</f>
        <v>0</v>
      </c>
      <c r="G90" s="453">
        <f>'ANTP_1.3 Frota Total'!F85</f>
        <v>0</v>
      </c>
      <c r="H90" s="453">
        <f>'ANTP_1.3 Frota Total'!G85</f>
        <v>0</v>
      </c>
      <c r="I90" s="462">
        <f>'ANTP_1.3 Frota Total'!H85</f>
        <v>0</v>
      </c>
    </row>
    <row r="91" spans="1:9" x14ac:dyDescent="0.25">
      <c r="A91" s="1245"/>
      <c r="B91" s="1246"/>
      <c r="C91" s="1246"/>
      <c r="D91" s="1246"/>
      <c r="E91" s="452">
        <v>3</v>
      </c>
      <c r="F91" s="453">
        <f>'ANTP_1.3 Frota Total'!E86</f>
        <v>0</v>
      </c>
      <c r="G91" s="453">
        <f>'ANTP_1.3 Frota Total'!F86</f>
        <v>0</v>
      </c>
      <c r="H91" s="453">
        <f>'ANTP_1.3 Frota Total'!G86</f>
        <v>0</v>
      </c>
      <c r="I91" s="462">
        <f>'ANTP_1.3 Frota Total'!H86</f>
        <v>0</v>
      </c>
    </row>
    <row r="92" spans="1:9" x14ac:dyDescent="0.25">
      <c r="A92" s="1245"/>
      <c r="B92" s="1246"/>
      <c r="C92" s="1246"/>
      <c r="D92" s="1246"/>
      <c r="E92" s="452">
        <v>4</v>
      </c>
      <c r="F92" s="453">
        <f>'ANTP_1.3 Frota Total'!E87</f>
        <v>0</v>
      </c>
      <c r="G92" s="453">
        <f>'ANTP_1.3 Frota Total'!F87</f>
        <v>0</v>
      </c>
      <c r="H92" s="453">
        <f>'ANTP_1.3 Frota Total'!G87</f>
        <v>0</v>
      </c>
      <c r="I92" s="462">
        <f>'ANTP_1.3 Frota Total'!H87</f>
        <v>0</v>
      </c>
    </row>
    <row r="93" spans="1:9" x14ac:dyDescent="0.25">
      <c r="A93" s="1245"/>
      <c r="B93" s="1246"/>
      <c r="C93" s="1246"/>
      <c r="D93" s="1246"/>
      <c r="E93" s="452">
        <v>5</v>
      </c>
      <c r="F93" s="453">
        <f>'ANTP_1.3 Frota Total'!E88</f>
        <v>0</v>
      </c>
      <c r="G93" s="453">
        <f>'ANTP_1.3 Frota Total'!F88</f>
        <v>0</v>
      </c>
      <c r="H93" s="453">
        <f>'ANTP_1.3 Frota Total'!G88</f>
        <v>0</v>
      </c>
      <c r="I93" s="462">
        <f>'ANTP_1.3 Frota Total'!H88</f>
        <v>0</v>
      </c>
    </row>
    <row r="94" spans="1:9" x14ac:dyDescent="0.25">
      <c r="A94" s="1245"/>
      <c r="B94" s="1246"/>
      <c r="C94" s="1246"/>
      <c r="D94" s="1246"/>
      <c r="E94" s="452">
        <v>6</v>
      </c>
      <c r="F94" s="453">
        <f>'ANTP_1.3 Frota Total'!E89</f>
        <v>0</v>
      </c>
      <c r="G94" s="453">
        <f>'ANTP_1.3 Frota Total'!F89</f>
        <v>0</v>
      </c>
      <c r="H94" s="453">
        <f>'ANTP_1.3 Frota Total'!G89</f>
        <v>0</v>
      </c>
      <c r="I94" s="462">
        <f>'ANTP_1.3 Frota Total'!H89</f>
        <v>0</v>
      </c>
    </row>
    <row r="95" spans="1:9" x14ac:dyDescent="0.25">
      <c r="A95" s="1245"/>
      <c r="B95" s="1246"/>
      <c r="C95" s="1246"/>
      <c r="D95" s="1246"/>
      <c r="E95" s="452">
        <v>7</v>
      </c>
      <c r="F95" s="453">
        <f>'ANTP_1.3 Frota Total'!E90</f>
        <v>0</v>
      </c>
      <c r="G95" s="453">
        <f>'ANTP_1.3 Frota Total'!F90</f>
        <v>0</v>
      </c>
      <c r="H95" s="453">
        <f>'ANTP_1.3 Frota Total'!G90</f>
        <v>0</v>
      </c>
      <c r="I95" s="462">
        <f>'ANTP_1.3 Frota Total'!H90</f>
        <v>0</v>
      </c>
    </row>
    <row r="96" spans="1:9" x14ac:dyDescent="0.25">
      <c r="A96" s="1245"/>
      <c r="B96" s="1246"/>
      <c r="C96" s="1246"/>
      <c r="D96" s="1246"/>
      <c r="E96" s="452">
        <v>8</v>
      </c>
      <c r="F96" s="453">
        <f>'ANTP_1.3 Frota Total'!E91</f>
        <v>0</v>
      </c>
      <c r="G96" s="453">
        <f>'ANTP_1.3 Frota Total'!F91</f>
        <v>0</v>
      </c>
      <c r="H96" s="453">
        <f>'ANTP_1.3 Frota Total'!G91</f>
        <v>0</v>
      </c>
      <c r="I96" s="462">
        <f>'ANTP_1.3 Frota Total'!H91</f>
        <v>0</v>
      </c>
    </row>
    <row r="97" spans="1:9" x14ac:dyDescent="0.25">
      <c r="A97" s="1245"/>
      <c r="B97" s="1246"/>
      <c r="C97" s="1246"/>
      <c r="D97" s="1246"/>
      <c r="E97" s="452">
        <v>9</v>
      </c>
      <c r="F97" s="453">
        <f>'ANTP_1.3 Frota Total'!E92</f>
        <v>0</v>
      </c>
      <c r="G97" s="453">
        <f>'ANTP_1.3 Frota Total'!F92</f>
        <v>0</v>
      </c>
      <c r="H97" s="453">
        <f>'ANTP_1.3 Frota Total'!G92</f>
        <v>0</v>
      </c>
      <c r="I97" s="462">
        <f>'ANTP_1.3 Frota Total'!H92</f>
        <v>0</v>
      </c>
    </row>
    <row r="98" spans="1:9" x14ac:dyDescent="0.25">
      <c r="A98" s="1245"/>
      <c r="B98" s="1246"/>
      <c r="C98" s="1246"/>
      <c r="D98" s="1246"/>
      <c r="E98" s="452">
        <v>10</v>
      </c>
      <c r="F98" s="453">
        <f>'ANTP_1.3 Frota Total'!E93</f>
        <v>0</v>
      </c>
      <c r="G98" s="453">
        <f>'ANTP_1.3 Frota Total'!F93</f>
        <v>0</v>
      </c>
      <c r="H98" s="453">
        <f>'ANTP_1.3 Frota Total'!G93</f>
        <v>0</v>
      </c>
      <c r="I98" s="462">
        <f>'ANTP_1.3 Frota Total'!H93</f>
        <v>0</v>
      </c>
    </row>
    <row r="99" spans="1:9" x14ac:dyDescent="0.25">
      <c r="A99" s="1245"/>
      <c r="B99" s="1246"/>
      <c r="C99" s="1246"/>
      <c r="D99" s="1246"/>
      <c r="E99" s="452">
        <v>11</v>
      </c>
      <c r="F99" s="453">
        <f>'ANTP_1.3 Frota Total'!E94</f>
        <v>0</v>
      </c>
      <c r="G99" s="453">
        <f>'ANTP_1.3 Frota Total'!F94</f>
        <v>0</v>
      </c>
      <c r="H99" s="453">
        <f>'ANTP_1.3 Frota Total'!G94</f>
        <v>0</v>
      </c>
      <c r="I99" s="462">
        <f>'ANTP_1.3 Frota Total'!H94</f>
        <v>0</v>
      </c>
    </row>
    <row r="100" spans="1:9" ht="15.75" thickBot="1" x14ac:dyDescent="0.3">
      <c r="A100" s="1247"/>
      <c r="B100" s="1248"/>
      <c r="C100" s="1248"/>
      <c r="D100" s="1248"/>
      <c r="E100" s="468">
        <v>12</v>
      </c>
      <c r="F100" s="474">
        <f>'ANTP_1.3 Frota Total'!E95</f>
        <v>0</v>
      </c>
      <c r="G100" s="474">
        <f>'ANTP_1.3 Frota Total'!F95</f>
        <v>0</v>
      </c>
      <c r="H100" s="474">
        <f>'ANTP_1.3 Frota Total'!G95</f>
        <v>0</v>
      </c>
      <c r="I100" s="475">
        <f>'ANTP_1.3 Frota Total'!H95</f>
        <v>0</v>
      </c>
    </row>
    <row r="101" spans="1:9" x14ac:dyDescent="0.25">
      <c r="A101" s="1272" t="s">
        <v>17</v>
      </c>
      <c r="B101" s="1273"/>
      <c r="C101" s="1273"/>
      <c r="D101" s="1274"/>
      <c r="E101" s="448">
        <v>0</v>
      </c>
      <c r="F101" s="449">
        <f>'ANTP_1.3 Frota Total'!E96</f>
        <v>0</v>
      </c>
      <c r="G101" s="449">
        <f>'ANTP_1.3 Frota Total'!F96</f>
        <v>0</v>
      </c>
      <c r="H101" s="449">
        <f>'ANTP_1.3 Frota Total'!G96</f>
        <v>0</v>
      </c>
      <c r="I101" s="461">
        <f>'ANTP_1.3 Frota Total'!H96</f>
        <v>0</v>
      </c>
    </row>
    <row r="102" spans="1:9" x14ac:dyDescent="0.25">
      <c r="A102" s="1251"/>
      <c r="B102" s="1252"/>
      <c r="C102" s="1252"/>
      <c r="D102" s="1253"/>
      <c r="E102" s="452">
        <v>1</v>
      </c>
      <c r="F102" s="453">
        <f>'ANTP_1.3 Frota Total'!E97</f>
        <v>0</v>
      </c>
      <c r="G102" s="453">
        <f>'ANTP_1.3 Frota Total'!F97</f>
        <v>0</v>
      </c>
      <c r="H102" s="453">
        <f>'ANTP_1.3 Frota Total'!G97</f>
        <v>0</v>
      </c>
      <c r="I102" s="462">
        <f>'ANTP_1.3 Frota Total'!H97</f>
        <v>0</v>
      </c>
    </row>
    <row r="103" spans="1:9" x14ac:dyDescent="0.25">
      <c r="A103" s="1251"/>
      <c r="B103" s="1252"/>
      <c r="C103" s="1252"/>
      <c r="D103" s="1253"/>
      <c r="E103" s="452">
        <v>2</v>
      </c>
      <c r="F103" s="453">
        <f>'ANTP_1.3 Frota Total'!E98</f>
        <v>0</v>
      </c>
      <c r="G103" s="453">
        <f>'ANTP_1.3 Frota Total'!F98</f>
        <v>0</v>
      </c>
      <c r="H103" s="453">
        <f>'ANTP_1.3 Frota Total'!G98</f>
        <v>0</v>
      </c>
      <c r="I103" s="462">
        <f>'ANTP_1.3 Frota Total'!H98</f>
        <v>0</v>
      </c>
    </row>
    <row r="104" spans="1:9" x14ac:dyDescent="0.25">
      <c r="A104" s="1251"/>
      <c r="B104" s="1252"/>
      <c r="C104" s="1252"/>
      <c r="D104" s="1253"/>
      <c r="E104" s="452">
        <v>3</v>
      </c>
      <c r="F104" s="453">
        <f>'ANTP_1.3 Frota Total'!E99</f>
        <v>0</v>
      </c>
      <c r="G104" s="453">
        <f>'ANTP_1.3 Frota Total'!F99</f>
        <v>0</v>
      </c>
      <c r="H104" s="453">
        <f>'ANTP_1.3 Frota Total'!G99</f>
        <v>0</v>
      </c>
      <c r="I104" s="462">
        <f>'ANTP_1.3 Frota Total'!H99</f>
        <v>0</v>
      </c>
    </row>
    <row r="105" spans="1:9" x14ac:dyDescent="0.25">
      <c r="A105" s="1251"/>
      <c r="B105" s="1252"/>
      <c r="C105" s="1252"/>
      <c r="D105" s="1253"/>
      <c r="E105" s="452">
        <v>4</v>
      </c>
      <c r="F105" s="453">
        <f>'ANTP_1.3 Frota Total'!E100</f>
        <v>0</v>
      </c>
      <c r="G105" s="453">
        <f>'ANTP_1.3 Frota Total'!F100</f>
        <v>0</v>
      </c>
      <c r="H105" s="453">
        <f>'ANTP_1.3 Frota Total'!G100</f>
        <v>0</v>
      </c>
      <c r="I105" s="462">
        <f>'ANTP_1.3 Frota Total'!H100</f>
        <v>0</v>
      </c>
    </row>
    <row r="106" spans="1:9" x14ac:dyDescent="0.25">
      <c r="A106" s="1251"/>
      <c r="B106" s="1252"/>
      <c r="C106" s="1252"/>
      <c r="D106" s="1253"/>
      <c r="E106" s="452">
        <v>5</v>
      </c>
      <c r="F106" s="453">
        <f>'ANTP_1.3 Frota Total'!E101</f>
        <v>0</v>
      </c>
      <c r="G106" s="453">
        <f>'ANTP_1.3 Frota Total'!F101</f>
        <v>0</v>
      </c>
      <c r="H106" s="453">
        <f>'ANTP_1.3 Frota Total'!G101</f>
        <v>0</v>
      </c>
      <c r="I106" s="462">
        <f>'ANTP_1.3 Frota Total'!H101</f>
        <v>0</v>
      </c>
    </row>
    <row r="107" spans="1:9" x14ac:dyDescent="0.25">
      <c r="A107" s="1251"/>
      <c r="B107" s="1252"/>
      <c r="C107" s="1252"/>
      <c r="D107" s="1253"/>
      <c r="E107" s="452">
        <v>6</v>
      </c>
      <c r="F107" s="453">
        <f>'ANTP_1.3 Frota Total'!E102</f>
        <v>0</v>
      </c>
      <c r="G107" s="453">
        <f>'ANTP_1.3 Frota Total'!F102</f>
        <v>0</v>
      </c>
      <c r="H107" s="453">
        <f>'ANTP_1.3 Frota Total'!G102</f>
        <v>0</v>
      </c>
      <c r="I107" s="462">
        <f>'ANTP_1.3 Frota Total'!H102</f>
        <v>0</v>
      </c>
    </row>
    <row r="108" spans="1:9" x14ac:dyDescent="0.25">
      <c r="A108" s="1251"/>
      <c r="B108" s="1252"/>
      <c r="C108" s="1252"/>
      <c r="D108" s="1253"/>
      <c r="E108" s="452">
        <v>7</v>
      </c>
      <c r="F108" s="453">
        <f>'ANTP_1.3 Frota Total'!E103</f>
        <v>0</v>
      </c>
      <c r="G108" s="453">
        <f>'ANTP_1.3 Frota Total'!F103</f>
        <v>0</v>
      </c>
      <c r="H108" s="453">
        <f>'ANTP_1.3 Frota Total'!G103</f>
        <v>0</v>
      </c>
      <c r="I108" s="462">
        <f>'ANTP_1.3 Frota Total'!H103</f>
        <v>0</v>
      </c>
    </row>
    <row r="109" spans="1:9" x14ac:dyDescent="0.25">
      <c r="A109" s="1251"/>
      <c r="B109" s="1252"/>
      <c r="C109" s="1252"/>
      <c r="D109" s="1253"/>
      <c r="E109" s="452">
        <v>8</v>
      </c>
      <c r="F109" s="453">
        <f>'ANTP_1.3 Frota Total'!E104</f>
        <v>0</v>
      </c>
      <c r="G109" s="453">
        <f>'ANTP_1.3 Frota Total'!F104</f>
        <v>0</v>
      </c>
      <c r="H109" s="453">
        <f>'ANTP_1.3 Frota Total'!G104</f>
        <v>0</v>
      </c>
      <c r="I109" s="462">
        <f>'ANTP_1.3 Frota Total'!H104</f>
        <v>0</v>
      </c>
    </row>
    <row r="110" spans="1:9" x14ac:dyDescent="0.25">
      <c r="A110" s="1251"/>
      <c r="B110" s="1252"/>
      <c r="C110" s="1252"/>
      <c r="D110" s="1253"/>
      <c r="E110" s="452">
        <v>9</v>
      </c>
      <c r="F110" s="453">
        <f>'ANTP_1.3 Frota Total'!E105</f>
        <v>0</v>
      </c>
      <c r="G110" s="453">
        <f>'ANTP_1.3 Frota Total'!F105</f>
        <v>0</v>
      </c>
      <c r="H110" s="453">
        <f>'ANTP_1.3 Frota Total'!G105</f>
        <v>0</v>
      </c>
      <c r="I110" s="462">
        <f>'ANTP_1.3 Frota Total'!H105</f>
        <v>0</v>
      </c>
    </row>
    <row r="111" spans="1:9" x14ac:dyDescent="0.25">
      <c r="A111" s="1251"/>
      <c r="B111" s="1252"/>
      <c r="C111" s="1252"/>
      <c r="D111" s="1253"/>
      <c r="E111" s="452">
        <v>10</v>
      </c>
      <c r="F111" s="453">
        <f>'ANTP_1.3 Frota Total'!E106</f>
        <v>0</v>
      </c>
      <c r="G111" s="453">
        <f>'ANTP_1.3 Frota Total'!F106</f>
        <v>0</v>
      </c>
      <c r="H111" s="453">
        <f>'ANTP_1.3 Frota Total'!G106</f>
        <v>0</v>
      </c>
      <c r="I111" s="462">
        <f>'ANTP_1.3 Frota Total'!H106</f>
        <v>0</v>
      </c>
    </row>
    <row r="112" spans="1:9" x14ac:dyDescent="0.25">
      <c r="A112" s="1251"/>
      <c r="B112" s="1252"/>
      <c r="C112" s="1252"/>
      <c r="D112" s="1253"/>
      <c r="E112" s="452">
        <v>11</v>
      </c>
      <c r="F112" s="453">
        <f>'ANTP_1.3 Frota Total'!E107</f>
        <v>0</v>
      </c>
      <c r="G112" s="453">
        <f>'ANTP_1.3 Frota Total'!F107</f>
        <v>0</v>
      </c>
      <c r="H112" s="453">
        <f>'ANTP_1.3 Frota Total'!G107</f>
        <v>0</v>
      </c>
      <c r="I112" s="462">
        <f>'ANTP_1.3 Frota Total'!H107</f>
        <v>0</v>
      </c>
    </row>
    <row r="113" spans="1:10" ht="15.75" thickBot="1" x14ac:dyDescent="0.3">
      <c r="A113" s="1275"/>
      <c r="B113" s="1276"/>
      <c r="C113" s="1276"/>
      <c r="D113" s="1277"/>
      <c r="E113" s="457">
        <v>12</v>
      </c>
      <c r="F113" s="458">
        <f>'ANTP_1.3 Frota Total'!E108</f>
        <v>0</v>
      </c>
      <c r="G113" s="458">
        <f>'ANTP_1.3 Frota Total'!F108</f>
        <v>0</v>
      </c>
      <c r="H113" s="458">
        <f>'ANTP_1.3 Frota Total'!G108</f>
        <v>0</v>
      </c>
      <c r="I113" s="463">
        <f>'ANTP_1.3 Frota Total'!H108</f>
        <v>0</v>
      </c>
    </row>
    <row r="115" spans="1:10" x14ac:dyDescent="0.25">
      <c r="A115" s="61" t="s">
        <v>679</v>
      </c>
      <c r="B115" s="61" t="s">
        <v>129</v>
      </c>
    </row>
    <row r="116" spans="1:10" x14ac:dyDescent="0.25">
      <c r="A116" s="1121" t="s">
        <v>8</v>
      </c>
      <c r="B116" s="1121"/>
      <c r="C116" s="1121"/>
      <c r="D116" s="1121"/>
      <c r="E116" s="1254" t="s">
        <v>115</v>
      </c>
      <c r="F116" s="1249" t="s">
        <v>6</v>
      </c>
      <c r="G116" s="1250"/>
      <c r="H116" s="1249" t="s">
        <v>7</v>
      </c>
      <c r="I116" s="1250"/>
      <c r="J116" s="1254" t="s">
        <v>126</v>
      </c>
    </row>
    <row r="117" spans="1:10" ht="15.75" thickBot="1" x14ac:dyDescent="0.3">
      <c r="A117" s="1254"/>
      <c r="B117" s="1254"/>
      <c r="C117" s="1254"/>
      <c r="D117" s="1254"/>
      <c r="E117" s="1266"/>
      <c r="F117" s="489" t="s">
        <v>9</v>
      </c>
      <c r="G117" s="489" t="s">
        <v>10</v>
      </c>
      <c r="H117" s="489" t="s">
        <v>9</v>
      </c>
      <c r="I117" s="489" t="s">
        <v>10</v>
      </c>
      <c r="J117" s="1266" t="s">
        <v>126</v>
      </c>
    </row>
    <row r="118" spans="1:10" x14ac:dyDescent="0.25">
      <c r="A118" s="1213" t="s">
        <v>124</v>
      </c>
      <c r="B118" s="1214"/>
      <c r="C118" s="1214"/>
      <c r="D118" s="1215"/>
      <c r="E118" s="477">
        <v>0</v>
      </c>
      <c r="F118" s="506">
        <f t="shared" ref="F118:I129" si="5">F38*$J118</f>
        <v>0</v>
      </c>
      <c r="G118" s="506">
        <f t="shared" si="5"/>
        <v>0</v>
      </c>
      <c r="H118" s="506">
        <f t="shared" si="5"/>
        <v>0</v>
      </c>
      <c r="I118" s="506">
        <f t="shared" si="5"/>
        <v>0</v>
      </c>
      <c r="J118" s="507">
        <f t="shared" ref="J118:J123" si="6">D21</f>
        <v>1.3636363636363636E-2</v>
      </c>
    </row>
    <row r="119" spans="1:10" x14ac:dyDescent="0.25">
      <c r="A119" s="1216"/>
      <c r="B119" s="1217"/>
      <c r="C119" s="1217"/>
      <c r="D119" s="1218"/>
      <c r="E119" s="480">
        <v>1</v>
      </c>
      <c r="F119" s="508">
        <f t="shared" si="5"/>
        <v>0</v>
      </c>
      <c r="G119" s="508">
        <f t="shared" si="5"/>
        <v>0</v>
      </c>
      <c r="H119" s="508">
        <f t="shared" si="5"/>
        <v>0</v>
      </c>
      <c r="I119" s="508">
        <f t="shared" si="5"/>
        <v>0</v>
      </c>
      <c r="J119" s="509">
        <f t="shared" si="6"/>
        <v>1.2272727272727274E-2</v>
      </c>
    </row>
    <row r="120" spans="1:10" x14ac:dyDescent="0.25">
      <c r="A120" s="1216"/>
      <c r="B120" s="1217"/>
      <c r="C120" s="1217"/>
      <c r="D120" s="1218"/>
      <c r="E120" s="480">
        <v>2</v>
      </c>
      <c r="F120" s="508">
        <f t="shared" si="5"/>
        <v>0</v>
      </c>
      <c r="G120" s="508">
        <f t="shared" si="5"/>
        <v>0</v>
      </c>
      <c r="H120" s="508">
        <f t="shared" si="5"/>
        <v>0</v>
      </c>
      <c r="I120" s="508">
        <f t="shared" si="5"/>
        <v>0</v>
      </c>
      <c r="J120" s="509">
        <f t="shared" si="6"/>
        <v>1.090909090909091E-2</v>
      </c>
    </row>
    <row r="121" spans="1:10" x14ac:dyDescent="0.25">
      <c r="A121" s="1216"/>
      <c r="B121" s="1217"/>
      <c r="C121" s="1217"/>
      <c r="D121" s="1218"/>
      <c r="E121" s="480">
        <v>3</v>
      </c>
      <c r="F121" s="508">
        <f t="shared" si="5"/>
        <v>0</v>
      </c>
      <c r="G121" s="508">
        <f t="shared" si="5"/>
        <v>0</v>
      </c>
      <c r="H121" s="508">
        <f t="shared" si="5"/>
        <v>0</v>
      </c>
      <c r="I121" s="508">
        <f t="shared" si="5"/>
        <v>0</v>
      </c>
      <c r="J121" s="509">
        <f t="shared" si="6"/>
        <v>9.5454545454545462E-3</v>
      </c>
    </row>
    <row r="122" spans="1:10" x14ac:dyDescent="0.25">
      <c r="A122" s="1216"/>
      <c r="B122" s="1217"/>
      <c r="C122" s="1217"/>
      <c r="D122" s="1218"/>
      <c r="E122" s="480">
        <v>4</v>
      </c>
      <c r="F122" s="508">
        <f t="shared" si="5"/>
        <v>0</v>
      </c>
      <c r="G122" s="508">
        <f t="shared" si="5"/>
        <v>0</v>
      </c>
      <c r="H122" s="508">
        <f t="shared" si="5"/>
        <v>0</v>
      </c>
      <c r="I122" s="508">
        <f t="shared" si="5"/>
        <v>0</v>
      </c>
      <c r="J122" s="509">
        <f t="shared" si="6"/>
        <v>8.1818181818181825E-3</v>
      </c>
    </row>
    <row r="123" spans="1:10" ht="15.75" thickBot="1" x14ac:dyDescent="0.3">
      <c r="A123" s="1219"/>
      <c r="B123" s="1220"/>
      <c r="C123" s="1220"/>
      <c r="D123" s="1221"/>
      <c r="E123" s="483">
        <v>5</v>
      </c>
      <c r="F123" s="510">
        <f t="shared" si="5"/>
        <v>0</v>
      </c>
      <c r="G123" s="510">
        <f t="shared" si="5"/>
        <v>0</v>
      </c>
      <c r="H123" s="510">
        <f t="shared" si="5"/>
        <v>0</v>
      </c>
      <c r="I123" s="510">
        <f t="shared" si="5"/>
        <v>0</v>
      </c>
      <c r="J123" s="511">
        <f t="shared" si="6"/>
        <v>6.8181818181818179E-3</v>
      </c>
    </row>
    <row r="124" spans="1:10" x14ac:dyDescent="0.25">
      <c r="A124" s="1213" t="s">
        <v>12</v>
      </c>
      <c r="B124" s="1214"/>
      <c r="C124" s="1214"/>
      <c r="D124" s="1215"/>
      <c r="E124" s="477">
        <v>0</v>
      </c>
      <c r="F124" s="506">
        <f t="shared" si="5"/>
        <v>0</v>
      </c>
      <c r="G124" s="506">
        <f t="shared" si="5"/>
        <v>0</v>
      </c>
      <c r="H124" s="506">
        <f t="shared" si="5"/>
        <v>0</v>
      </c>
      <c r="I124" s="506">
        <f t="shared" si="5"/>
        <v>0</v>
      </c>
      <c r="J124" s="507">
        <f t="shared" ref="J124:J129" si="7">D21</f>
        <v>1.3636363636363636E-2</v>
      </c>
    </row>
    <row r="125" spans="1:10" x14ac:dyDescent="0.25">
      <c r="A125" s="1216"/>
      <c r="B125" s="1217"/>
      <c r="C125" s="1217"/>
      <c r="D125" s="1218"/>
      <c r="E125" s="480">
        <v>1</v>
      </c>
      <c r="F125" s="508">
        <f t="shared" si="5"/>
        <v>0</v>
      </c>
      <c r="G125" s="508">
        <f t="shared" si="5"/>
        <v>0</v>
      </c>
      <c r="H125" s="508">
        <f t="shared" si="5"/>
        <v>0</v>
      </c>
      <c r="I125" s="508">
        <f t="shared" si="5"/>
        <v>0</v>
      </c>
      <c r="J125" s="512">
        <f t="shared" si="7"/>
        <v>1.2272727272727274E-2</v>
      </c>
    </row>
    <row r="126" spans="1:10" x14ac:dyDescent="0.25">
      <c r="A126" s="1216"/>
      <c r="B126" s="1217"/>
      <c r="C126" s="1217"/>
      <c r="D126" s="1218"/>
      <c r="E126" s="480">
        <v>2</v>
      </c>
      <c r="F126" s="508">
        <f t="shared" si="5"/>
        <v>0</v>
      </c>
      <c r="G126" s="508">
        <f t="shared" si="5"/>
        <v>0</v>
      </c>
      <c r="H126" s="508">
        <f t="shared" si="5"/>
        <v>0</v>
      </c>
      <c r="I126" s="508">
        <f t="shared" si="5"/>
        <v>0</v>
      </c>
      <c r="J126" s="512">
        <f t="shared" si="7"/>
        <v>1.090909090909091E-2</v>
      </c>
    </row>
    <row r="127" spans="1:10" x14ac:dyDescent="0.25">
      <c r="A127" s="1216"/>
      <c r="B127" s="1217"/>
      <c r="C127" s="1217"/>
      <c r="D127" s="1218"/>
      <c r="E127" s="480">
        <v>3</v>
      </c>
      <c r="F127" s="508">
        <f t="shared" si="5"/>
        <v>0</v>
      </c>
      <c r="G127" s="508">
        <f t="shared" si="5"/>
        <v>0</v>
      </c>
      <c r="H127" s="508">
        <f t="shared" si="5"/>
        <v>0</v>
      </c>
      <c r="I127" s="508">
        <f t="shared" si="5"/>
        <v>0</v>
      </c>
      <c r="J127" s="512">
        <f t="shared" si="7"/>
        <v>9.5454545454545462E-3</v>
      </c>
    </row>
    <row r="128" spans="1:10" x14ac:dyDescent="0.25">
      <c r="A128" s="1216"/>
      <c r="B128" s="1217"/>
      <c r="C128" s="1217"/>
      <c r="D128" s="1218"/>
      <c r="E128" s="480">
        <v>4</v>
      </c>
      <c r="F128" s="508">
        <f t="shared" si="5"/>
        <v>0</v>
      </c>
      <c r="G128" s="508">
        <f t="shared" si="5"/>
        <v>0</v>
      </c>
      <c r="H128" s="508">
        <f t="shared" si="5"/>
        <v>0</v>
      </c>
      <c r="I128" s="508">
        <f t="shared" si="5"/>
        <v>0</v>
      </c>
      <c r="J128" s="512">
        <f t="shared" si="7"/>
        <v>8.1818181818181825E-3</v>
      </c>
    </row>
    <row r="129" spans="1:10" x14ac:dyDescent="0.25">
      <c r="A129" s="1216"/>
      <c r="B129" s="1217"/>
      <c r="C129" s="1217"/>
      <c r="D129" s="1218"/>
      <c r="E129" s="480">
        <v>5</v>
      </c>
      <c r="F129" s="508">
        <f t="shared" si="5"/>
        <v>0</v>
      </c>
      <c r="G129" s="508">
        <f t="shared" si="5"/>
        <v>0</v>
      </c>
      <c r="H129" s="508">
        <f t="shared" si="5"/>
        <v>0</v>
      </c>
      <c r="I129" s="508">
        <f t="shared" si="5"/>
        <v>0</v>
      </c>
      <c r="J129" s="512">
        <f t="shared" si="7"/>
        <v>6.8181818181818179E-3</v>
      </c>
    </row>
    <row r="130" spans="1:10" x14ac:dyDescent="0.25">
      <c r="A130" s="1216"/>
      <c r="B130" s="1217"/>
      <c r="C130" s="1217"/>
      <c r="D130" s="1218"/>
      <c r="E130" s="480">
        <v>6</v>
      </c>
      <c r="F130" s="508">
        <f t="shared" ref="F130:I130" si="8">F50*$J130</f>
        <v>0</v>
      </c>
      <c r="G130" s="508">
        <f t="shared" si="8"/>
        <v>0</v>
      </c>
      <c r="H130" s="508">
        <f t="shared" si="8"/>
        <v>0</v>
      </c>
      <c r="I130" s="508">
        <f t="shared" si="8"/>
        <v>0</v>
      </c>
      <c r="J130" s="512">
        <f t="shared" ref="J130:J134" si="9">D27</f>
        <v>5.454545454545455E-3</v>
      </c>
    </row>
    <row r="131" spans="1:10" x14ac:dyDescent="0.25">
      <c r="A131" s="1216"/>
      <c r="B131" s="1217"/>
      <c r="C131" s="1217"/>
      <c r="D131" s="1218"/>
      <c r="E131" s="480">
        <v>7</v>
      </c>
      <c r="F131" s="508">
        <f t="shared" ref="F131:I131" si="10">F51*$J131</f>
        <v>0</v>
      </c>
      <c r="G131" s="508">
        <f t="shared" si="10"/>
        <v>0</v>
      </c>
      <c r="H131" s="508">
        <f t="shared" si="10"/>
        <v>0</v>
      </c>
      <c r="I131" s="508">
        <f t="shared" si="10"/>
        <v>0</v>
      </c>
      <c r="J131" s="512">
        <f t="shared" si="9"/>
        <v>4.0909090909090912E-3</v>
      </c>
    </row>
    <row r="132" spans="1:10" x14ac:dyDescent="0.25">
      <c r="A132" s="1216"/>
      <c r="B132" s="1217"/>
      <c r="C132" s="1217"/>
      <c r="D132" s="1218"/>
      <c r="E132" s="480">
        <v>8</v>
      </c>
      <c r="F132" s="508">
        <f t="shared" ref="F132:I132" si="11">F52*$J132</f>
        <v>0</v>
      </c>
      <c r="G132" s="508">
        <f t="shared" si="11"/>
        <v>0</v>
      </c>
      <c r="H132" s="508">
        <f t="shared" si="11"/>
        <v>0</v>
      </c>
      <c r="I132" s="508">
        <f t="shared" si="11"/>
        <v>0</v>
      </c>
      <c r="J132" s="512">
        <f t="shared" si="9"/>
        <v>2.7272727272727275E-3</v>
      </c>
    </row>
    <row r="133" spans="1:10" x14ac:dyDescent="0.25">
      <c r="A133" s="1216"/>
      <c r="B133" s="1217"/>
      <c r="C133" s="1217"/>
      <c r="D133" s="1218"/>
      <c r="E133" s="480">
        <v>9</v>
      </c>
      <c r="F133" s="508">
        <f t="shared" ref="F133:I133" si="12">F53*$J133</f>
        <v>0</v>
      </c>
      <c r="G133" s="508">
        <f t="shared" si="12"/>
        <v>0</v>
      </c>
      <c r="H133" s="508">
        <f t="shared" si="12"/>
        <v>0</v>
      </c>
      <c r="I133" s="508">
        <f t="shared" si="12"/>
        <v>0</v>
      </c>
      <c r="J133" s="512">
        <f t="shared" si="9"/>
        <v>1.3636363636363637E-3</v>
      </c>
    </row>
    <row r="134" spans="1:10" ht="15.75" thickBot="1" x14ac:dyDescent="0.3">
      <c r="A134" s="1219"/>
      <c r="B134" s="1220"/>
      <c r="C134" s="1220"/>
      <c r="D134" s="1221"/>
      <c r="E134" s="480">
        <v>10</v>
      </c>
      <c r="F134" s="508">
        <f t="shared" ref="F134:I134" si="13">F54*$J134</f>
        <v>0</v>
      </c>
      <c r="G134" s="508">
        <f t="shared" si="13"/>
        <v>0</v>
      </c>
      <c r="H134" s="508">
        <f t="shared" si="13"/>
        <v>0</v>
      </c>
      <c r="I134" s="508">
        <f t="shared" si="13"/>
        <v>0</v>
      </c>
      <c r="J134" s="514">
        <f t="shared" si="9"/>
        <v>0</v>
      </c>
    </row>
    <row r="135" spans="1:10" x14ac:dyDescent="0.25">
      <c r="A135" s="1213" t="s">
        <v>13</v>
      </c>
      <c r="B135" s="1214"/>
      <c r="C135" s="1214"/>
      <c r="D135" s="1215"/>
      <c r="E135" s="477">
        <v>0</v>
      </c>
      <c r="F135" s="506">
        <f t="shared" ref="F135:I142" si="14">F55*$J135</f>
        <v>0</v>
      </c>
      <c r="G135" s="506">
        <f t="shared" si="14"/>
        <v>0</v>
      </c>
      <c r="H135" s="506">
        <f t="shared" si="14"/>
        <v>0</v>
      </c>
      <c r="I135" s="506">
        <f t="shared" si="14"/>
        <v>0</v>
      </c>
      <c r="J135" s="507">
        <f t="shared" ref="J135:J145" si="15">E21</f>
        <v>1.3636363636363636E-2</v>
      </c>
    </row>
    <row r="136" spans="1:10" x14ac:dyDescent="0.25">
      <c r="A136" s="1216"/>
      <c r="B136" s="1217"/>
      <c r="C136" s="1217"/>
      <c r="D136" s="1218"/>
      <c r="E136" s="480">
        <v>1</v>
      </c>
      <c r="F136" s="508">
        <f t="shared" si="14"/>
        <v>0</v>
      </c>
      <c r="G136" s="508">
        <f t="shared" si="14"/>
        <v>0</v>
      </c>
      <c r="H136" s="508">
        <f t="shared" si="14"/>
        <v>0</v>
      </c>
      <c r="I136" s="508">
        <f t="shared" si="14"/>
        <v>0</v>
      </c>
      <c r="J136" s="512">
        <f t="shared" si="15"/>
        <v>1.2272727272727274E-2</v>
      </c>
    </row>
    <row r="137" spans="1:10" x14ac:dyDescent="0.25">
      <c r="A137" s="1216"/>
      <c r="B137" s="1217"/>
      <c r="C137" s="1217"/>
      <c r="D137" s="1218"/>
      <c r="E137" s="480">
        <v>2</v>
      </c>
      <c r="F137" s="508">
        <f t="shared" si="14"/>
        <v>0</v>
      </c>
      <c r="G137" s="508">
        <f t="shared" si="14"/>
        <v>0</v>
      </c>
      <c r="H137" s="508">
        <f t="shared" si="14"/>
        <v>0</v>
      </c>
      <c r="I137" s="508">
        <f t="shared" si="14"/>
        <v>0</v>
      </c>
      <c r="J137" s="512">
        <f t="shared" si="15"/>
        <v>1.090909090909091E-2</v>
      </c>
    </row>
    <row r="138" spans="1:10" x14ac:dyDescent="0.25">
      <c r="A138" s="1216"/>
      <c r="B138" s="1217"/>
      <c r="C138" s="1217"/>
      <c r="D138" s="1218"/>
      <c r="E138" s="480">
        <v>3</v>
      </c>
      <c r="F138" s="508">
        <f t="shared" si="14"/>
        <v>0</v>
      </c>
      <c r="G138" s="508">
        <f t="shared" si="14"/>
        <v>0</v>
      </c>
      <c r="H138" s="508">
        <f t="shared" si="14"/>
        <v>0</v>
      </c>
      <c r="I138" s="508">
        <f t="shared" si="14"/>
        <v>0</v>
      </c>
      <c r="J138" s="512">
        <f t="shared" si="15"/>
        <v>9.5454545454545462E-3</v>
      </c>
    </row>
    <row r="139" spans="1:10" x14ac:dyDescent="0.25">
      <c r="A139" s="1216"/>
      <c r="B139" s="1217"/>
      <c r="C139" s="1217"/>
      <c r="D139" s="1218"/>
      <c r="E139" s="480">
        <v>4</v>
      </c>
      <c r="F139" s="508">
        <f t="shared" si="14"/>
        <v>0</v>
      </c>
      <c r="G139" s="508">
        <f t="shared" si="14"/>
        <v>0</v>
      </c>
      <c r="H139" s="508">
        <f t="shared" si="14"/>
        <v>0</v>
      </c>
      <c r="I139" s="508">
        <f t="shared" si="14"/>
        <v>0</v>
      </c>
      <c r="J139" s="512">
        <f t="shared" si="15"/>
        <v>8.1818181818181825E-3</v>
      </c>
    </row>
    <row r="140" spans="1:10" x14ac:dyDescent="0.25">
      <c r="A140" s="1216"/>
      <c r="B140" s="1217"/>
      <c r="C140" s="1217"/>
      <c r="D140" s="1218"/>
      <c r="E140" s="480">
        <v>5</v>
      </c>
      <c r="F140" s="508">
        <f t="shared" si="14"/>
        <v>0</v>
      </c>
      <c r="G140" s="508">
        <f t="shared" si="14"/>
        <v>0</v>
      </c>
      <c r="H140" s="508">
        <f t="shared" si="14"/>
        <v>0</v>
      </c>
      <c r="I140" s="508">
        <f t="shared" si="14"/>
        <v>0</v>
      </c>
      <c r="J140" s="512">
        <f t="shared" si="15"/>
        <v>6.8181818181818179E-3</v>
      </c>
    </row>
    <row r="141" spans="1:10" x14ac:dyDescent="0.25">
      <c r="A141" s="1216"/>
      <c r="B141" s="1217"/>
      <c r="C141" s="1217"/>
      <c r="D141" s="1218"/>
      <c r="E141" s="480">
        <v>6</v>
      </c>
      <c r="F141" s="508">
        <f t="shared" si="14"/>
        <v>0</v>
      </c>
      <c r="G141" s="508">
        <f t="shared" si="14"/>
        <v>0</v>
      </c>
      <c r="H141" s="508">
        <f t="shared" si="14"/>
        <v>0</v>
      </c>
      <c r="I141" s="508">
        <f t="shared" si="14"/>
        <v>0</v>
      </c>
      <c r="J141" s="512">
        <f t="shared" si="15"/>
        <v>5.454545454545455E-3</v>
      </c>
    </row>
    <row r="142" spans="1:10" x14ac:dyDescent="0.25">
      <c r="A142" s="1216"/>
      <c r="B142" s="1217"/>
      <c r="C142" s="1217"/>
      <c r="D142" s="1218"/>
      <c r="E142" s="480">
        <v>7</v>
      </c>
      <c r="F142" s="508">
        <f t="shared" si="14"/>
        <v>0</v>
      </c>
      <c r="G142" s="508">
        <f t="shared" si="14"/>
        <v>0</v>
      </c>
      <c r="H142" s="508">
        <f t="shared" si="14"/>
        <v>0</v>
      </c>
      <c r="I142" s="508">
        <f t="shared" si="14"/>
        <v>0</v>
      </c>
      <c r="J142" s="512">
        <f t="shared" si="15"/>
        <v>4.0909090909090912E-3</v>
      </c>
    </row>
    <row r="143" spans="1:10" x14ac:dyDescent="0.25">
      <c r="A143" s="1216"/>
      <c r="B143" s="1217"/>
      <c r="C143" s="1217"/>
      <c r="D143" s="1218"/>
      <c r="E143" s="480">
        <v>8</v>
      </c>
      <c r="F143" s="508">
        <f>F63*$J143</f>
        <v>0</v>
      </c>
      <c r="G143" s="508">
        <f t="shared" ref="G143:I143" si="16">G63*$J143</f>
        <v>0</v>
      </c>
      <c r="H143" s="508">
        <f t="shared" si="16"/>
        <v>0</v>
      </c>
      <c r="I143" s="508">
        <f t="shared" si="16"/>
        <v>0</v>
      </c>
      <c r="J143" s="512">
        <f t="shared" si="15"/>
        <v>2.7272727272727275E-3</v>
      </c>
    </row>
    <row r="144" spans="1:10" x14ac:dyDescent="0.25">
      <c r="A144" s="1216"/>
      <c r="B144" s="1217"/>
      <c r="C144" s="1217"/>
      <c r="D144" s="1218"/>
      <c r="E144" s="480">
        <v>9</v>
      </c>
      <c r="F144" s="508">
        <f t="shared" ref="F144:I144" si="17">F64*$J144</f>
        <v>0</v>
      </c>
      <c r="G144" s="508">
        <f t="shared" si="17"/>
        <v>0</v>
      </c>
      <c r="H144" s="508">
        <f t="shared" si="17"/>
        <v>0</v>
      </c>
      <c r="I144" s="508">
        <f t="shared" si="17"/>
        <v>0</v>
      </c>
      <c r="J144" s="512">
        <f t="shared" si="15"/>
        <v>1.3636363636363637E-3</v>
      </c>
    </row>
    <row r="145" spans="1:10" ht="15.75" thickBot="1" x14ac:dyDescent="0.3">
      <c r="A145" s="1219"/>
      <c r="B145" s="1220"/>
      <c r="C145" s="1220"/>
      <c r="D145" s="1221"/>
      <c r="E145" s="480">
        <v>10</v>
      </c>
      <c r="F145" s="508">
        <f t="shared" ref="F145:I145" si="18">F65*$J145</f>
        <v>0</v>
      </c>
      <c r="G145" s="508">
        <f t="shared" si="18"/>
        <v>0</v>
      </c>
      <c r="H145" s="508">
        <f t="shared" si="18"/>
        <v>0</v>
      </c>
      <c r="I145" s="508">
        <f t="shared" si="18"/>
        <v>0</v>
      </c>
      <c r="J145" s="514">
        <f t="shared" si="15"/>
        <v>0</v>
      </c>
    </row>
    <row r="146" spans="1:10" x14ac:dyDescent="0.25">
      <c r="A146" s="1213" t="s">
        <v>14</v>
      </c>
      <c r="B146" s="1214"/>
      <c r="C146" s="1214"/>
      <c r="D146" s="1215"/>
      <c r="E146" s="477">
        <v>0</v>
      </c>
      <c r="F146" s="506">
        <f t="shared" ref="F146:I152" si="19">F66*$J146</f>
        <v>0</v>
      </c>
      <c r="G146" s="506">
        <f t="shared" si="19"/>
        <v>0</v>
      </c>
      <c r="H146" s="506">
        <f t="shared" si="19"/>
        <v>0</v>
      </c>
      <c r="I146" s="506">
        <f t="shared" si="19"/>
        <v>0</v>
      </c>
      <c r="J146" s="507">
        <f t="shared" ref="J146:J156" si="20">E21</f>
        <v>1.3636363636363636E-2</v>
      </c>
    </row>
    <row r="147" spans="1:10" x14ac:dyDescent="0.25">
      <c r="A147" s="1216"/>
      <c r="B147" s="1217"/>
      <c r="C147" s="1217"/>
      <c r="D147" s="1218"/>
      <c r="E147" s="480">
        <v>1</v>
      </c>
      <c r="F147" s="508">
        <f t="shared" si="19"/>
        <v>0</v>
      </c>
      <c r="G147" s="508">
        <f t="shared" si="19"/>
        <v>0</v>
      </c>
      <c r="H147" s="508">
        <f t="shared" si="19"/>
        <v>0</v>
      </c>
      <c r="I147" s="508">
        <f t="shared" si="19"/>
        <v>0</v>
      </c>
      <c r="J147" s="512">
        <f t="shared" si="20"/>
        <v>1.2272727272727274E-2</v>
      </c>
    </row>
    <row r="148" spans="1:10" x14ac:dyDescent="0.25">
      <c r="A148" s="1216"/>
      <c r="B148" s="1217"/>
      <c r="C148" s="1217"/>
      <c r="D148" s="1218"/>
      <c r="E148" s="480">
        <v>2</v>
      </c>
      <c r="F148" s="508">
        <f t="shared" si="19"/>
        <v>0</v>
      </c>
      <c r="G148" s="508">
        <f t="shared" si="19"/>
        <v>0</v>
      </c>
      <c r="H148" s="508">
        <f t="shared" si="19"/>
        <v>0</v>
      </c>
      <c r="I148" s="508">
        <f t="shared" si="19"/>
        <v>0</v>
      </c>
      <c r="J148" s="512">
        <f t="shared" si="20"/>
        <v>1.090909090909091E-2</v>
      </c>
    </row>
    <row r="149" spans="1:10" x14ac:dyDescent="0.25">
      <c r="A149" s="1216"/>
      <c r="B149" s="1217"/>
      <c r="C149" s="1217"/>
      <c r="D149" s="1218"/>
      <c r="E149" s="480">
        <v>3</v>
      </c>
      <c r="F149" s="508">
        <f t="shared" si="19"/>
        <v>0</v>
      </c>
      <c r="G149" s="508">
        <f t="shared" si="19"/>
        <v>0</v>
      </c>
      <c r="H149" s="508">
        <f t="shared" si="19"/>
        <v>0</v>
      </c>
      <c r="I149" s="508">
        <f t="shared" si="19"/>
        <v>0</v>
      </c>
      <c r="J149" s="512">
        <f t="shared" si="20"/>
        <v>9.5454545454545462E-3</v>
      </c>
    </row>
    <row r="150" spans="1:10" x14ac:dyDescent="0.25">
      <c r="A150" s="1216"/>
      <c r="B150" s="1217"/>
      <c r="C150" s="1217"/>
      <c r="D150" s="1218"/>
      <c r="E150" s="480">
        <v>4</v>
      </c>
      <c r="F150" s="508">
        <f t="shared" si="19"/>
        <v>0</v>
      </c>
      <c r="G150" s="508">
        <f t="shared" si="19"/>
        <v>0</v>
      </c>
      <c r="H150" s="508">
        <f t="shared" si="19"/>
        <v>0</v>
      </c>
      <c r="I150" s="508">
        <f t="shared" si="19"/>
        <v>0</v>
      </c>
      <c r="J150" s="512">
        <f t="shared" si="20"/>
        <v>8.1818181818181825E-3</v>
      </c>
    </row>
    <row r="151" spans="1:10" x14ac:dyDescent="0.25">
      <c r="A151" s="1216"/>
      <c r="B151" s="1217"/>
      <c r="C151" s="1217"/>
      <c r="D151" s="1218"/>
      <c r="E151" s="480">
        <v>5</v>
      </c>
      <c r="F151" s="508">
        <f t="shared" si="19"/>
        <v>2.7272727272727271E-2</v>
      </c>
      <c r="G151" s="508">
        <f t="shared" si="19"/>
        <v>0</v>
      </c>
      <c r="H151" s="508">
        <f t="shared" si="19"/>
        <v>0</v>
      </c>
      <c r="I151" s="508">
        <f t="shared" si="19"/>
        <v>0</v>
      </c>
      <c r="J151" s="512">
        <f t="shared" si="20"/>
        <v>6.8181818181818179E-3</v>
      </c>
    </row>
    <row r="152" spans="1:10" x14ac:dyDescent="0.25">
      <c r="A152" s="1216"/>
      <c r="B152" s="1217"/>
      <c r="C152" s="1217"/>
      <c r="D152" s="1218"/>
      <c r="E152" s="480">
        <v>6</v>
      </c>
      <c r="F152" s="508">
        <f t="shared" si="19"/>
        <v>0</v>
      </c>
      <c r="G152" s="508">
        <f t="shared" si="19"/>
        <v>0</v>
      </c>
      <c r="H152" s="508">
        <f t="shared" si="19"/>
        <v>0</v>
      </c>
      <c r="I152" s="508">
        <f t="shared" si="19"/>
        <v>0</v>
      </c>
      <c r="J152" s="512">
        <f t="shared" si="20"/>
        <v>5.454545454545455E-3</v>
      </c>
    </row>
    <row r="153" spans="1:10" x14ac:dyDescent="0.25">
      <c r="A153" s="1216"/>
      <c r="B153" s="1217"/>
      <c r="C153" s="1217"/>
      <c r="D153" s="1218"/>
      <c r="E153" s="480">
        <v>7</v>
      </c>
      <c r="F153" s="508">
        <f t="shared" ref="F153:I153" si="21">F73*$J153</f>
        <v>1.2272727272727274E-2</v>
      </c>
      <c r="G153" s="508">
        <f t="shared" si="21"/>
        <v>0</v>
      </c>
      <c r="H153" s="508">
        <f t="shared" si="21"/>
        <v>0</v>
      </c>
      <c r="I153" s="508">
        <f t="shared" si="21"/>
        <v>0</v>
      </c>
      <c r="J153" s="512">
        <f t="shared" si="20"/>
        <v>4.0909090909090912E-3</v>
      </c>
    </row>
    <row r="154" spans="1:10" x14ac:dyDescent="0.25">
      <c r="A154" s="1216"/>
      <c r="B154" s="1217"/>
      <c r="C154" s="1217"/>
      <c r="D154" s="1218"/>
      <c r="E154" s="480">
        <v>8</v>
      </c>
      <c r="F154" s="508">
        <f t="shared" ref="F154:I154" si="22">F74*$J154</f>
        <v>0</v>
      </c>
      <c r="G154" s="508">
        <f t="shared" si="22"/>
        <v>0</v>
      </c>
      <c r="H154" s="508">
        <f t="shared" si="22"/>
        <v>0</v>
      </c>
      <c r="I154" s="508">
        <f t="shared" si="22"/>
        <v>0</v>
      </c>
      <c r="J154" s="512">
        <f t="shared" si="20"/>
        <v>2.7272727272727275E-3</v>
      </c>
    </row>
    <row r="155" spans="1:10" x14ac:dyDescent="0.25">
      <c r="A155" s="1216"/>
      <c r="B155" s="1217"/>
      <c r="C155" s="1217"/>
      <c r="D155" s="1218"/>
      <c r="E155" s="480">
        <v>9</v>
      </c>
      <c r="F155" s="508">
        <f t="shared" ref="F155:I155" si="23">F75*$J155</f>
        <v>5.454545454545455E-3</v>
      </c>
      <c r="G155" s="508">
        <f t="shared" si="23"/>
        <v>0</v>
      </c>
      <c r="H155" s="508">
        <f t="shared" si="23"/>
        <v>0</v>
      </c>
      <c r="I155" s="508">
        <f t="shared" si="23"/>
        <v>0</v>
      </c>
      <c r="J155" s="512">
        <f t="shared" si="20"/>
        <v>1.3636363636363637E-3</v>
      </c>
    </row>
    <row r="156" spans="1:10" ht="15.75" thickBot="1" x14ac:dyDescent="0.3">
      <c r="A156" s="1219"/>
      <c r="B156" s="1220"/>
      <c r="C156" s="1220"/>
      <c r="D156" s="1221"/>
      <c r="E156" s="480">
        <v>10</v>
      </c>
      <c r="F156" s="508">
        <f t="shared" ref="F156:I156" si="24">F76*$J156</f>
        <v>0</v>
      </c>
      <c r="G156" s="508">
        <f t="shared" si="24"/>
        <v>0</v>
      </c>
      <c r="H156" s="508">
        <f t="shared" si="24"/>
        <v>0</v>
      </c>
      <c r="I156" s="508">
        <f t="shared" si="24"/>
        <v>0</v>
      </c>
      <c r="J156" s="512">
        <f t="shared" si="20"/>
        <v>0</v>
      </c>
    </row>
    <row r="157" spans="1:10" x14ac:dyDescent="0.25">
      <c r="A157" s="1213" t="s">
        <v>15</v>
      </c>
      <c r="B157" s="1214"/>
      <c r="C157" s="1214"/>
      <c r="D157" s="1215"/>
      <c r="E157" s="477">
        <v>0</v>
      </c>
      <c r="F157" s="506">
        <f t="shared" ref="F157:I176" si="25">F77*$J157</f>
        <v>0</v>
      </c>
      <c r="G157" s="506">
        <f t="shared" si="25"/>
        <v>0</v>
      </c>
      <c r="H157" s="506">
        <f t="shared" si="25"/>
        <v>0</v>
      </c>
      <c r="I157" s="506">
        <f t="shared" si="25"/>
        <v>0</v>
      </c>
      <c r="J157" s="507">
        <f t="shared" ref="J157:J167" si="26">F21</f>
        <v>1.3636363636363636E-2</v>
      </c>
    </row>
    <row r="158" spans="1:10" x14ac:dyDescent="0.25">
      <c r="A158" s="1216"/>
      <c r="B158" s="1217"/>
      <c r="C158" s="1217"/>
      <c r="D158" s="1218"/>
      <c r="E158" s="480">
        <v>1</v>
      </c>
      <c r="F158" s="508">
        <f t="shared" si="25"/>
        <v>0</v>
      </c>
      <c r="G158" s="508">
        <f t="shared" si="25"/>
        <v>0</v>
      </c>
      <c r="H158" s="508">
        <f t="shared" si="25"/>
        <v>0</v>
      </c>
      <c r="I158" s="508">
        <f t="shared" si="25"/>
        <v>0</v>
      </c>
      <c r="J158" s="512">
        <f t="shared" si="26"/>
        <v>1.2272727272727274E-2</v>
      </c>
    </row>
    <row r="159" spans="1:10" x14ac:dyDescent="0.25">
      <c r="A159" s="1216"/>
      <c r="B159" s="1217"/>
      <c r="C159" s="1217"/>
      <c r="D159" s="1218"/>
      <c r="E159" s="480">
        <v>2</v>
      </c>
      <c r="F159" s="508">
        <f t="shared" si="25"/>
        <v>0</v>
      </c>
      <c r="G159" s="508">
        <f t="shared" si="25"/>
        <v>0</v>
      </c>
      <c r="H159" s="508">
        <f t="shared" si="25"/>
        <v>0</v>
      </c>
      <c r="I159" s="508">
        <f t="shared" si="25"/>
        <v>0</v>
      </c>
      <c r="J159" s="512">
        <f t="shared" si="26"/>
        <v>1.090909090909091E-2</v>
      </c>
    </row>
    <row r="160" spans="1:10" x14ac:dyDescent="0.25">
      <c r="A160" s="1216"/>
      <c r="B160" s="1217"/>
      <c r="C160" s="1217"/>
      <c r="D160" s="1218"/>
      <c r="E160" s="480">
        <v>3</v>
      </c>
      <c r="F160" s="508">
        <f t="shared" si="25"/>
        <v>0</v>
      </c>
      <c r="G160" s="508">
        <f t="shared" si="25"/>
        <v>0</v>
      </c>
      <c r="H160" s="508">
        <f t="shared" si="25"/>
        <v>0</v>
      </c>
      <c r="I160" s="508">
        <f t="shared" si="25"/>
        <v>0</v>
      </c>
      <c r="J160" s="512">
        <f t="shared" si="26"/>
        <v>9.5454545454545462E-3</v>
      </c>
    </row>
    <row r="161" spans="1:10" x14ac:dyDescent="0.25">
      <c r="A161" s="1216"/>
      <c r="B161" s="1217"/>
      <c r="C161" s="1217"/>
      <c r="D161" s="1218"/>
      <c r="E161" s="480">
        <v>4</v>
      </c>
      <c r="F161" s="508">
        <f t="shared" si="25"/>
        <v>0</v>
      </c>
      <c r="G161" s="508">
        <f t="shared" si="25"/>
        <v>0</v>
      </c>
      <c r="H161" s="508">
        <f t="shared" si="25"/>
        <v>0</v>
      </c>
      <c r="I161" s="508">
        <f t="shared" si="25"/>
        <v>0</v>
      </c>
      <c r="J161" s="512">
        <f t="shared" si="26"/>
        <v>8.1818181818181825E-3</v>
      </c>
    </row>
    <row r="162" spans="1:10" x14ac:dyDescent="0.25">
      <c r="A162" s="1216"/>
      <c r="B162" s="1217"/>
      <c r="C162" s="1217"/>
      <c r="D162" s="1218"/>
      <c r="E162" s="480">
        <v>5</v>
      </c>
      <c r="F162" s="508">
        <f t="shared" si="25"/>
        <v>0</v>
      </c>
      <c r="G162" s="508">
        <f t="shared" si="25"/>
        <v>0</v>
      </c>
      <c r="H162" s="508">
        <f t="shared" si="25"/>
        <v>0</v>
      </c>
      <c r="I162" s="508">
        <f t="shared" si="25"/>
        <v>0</v>
      </c>
      <c r="J162" s="512">
        <f t="shared" si="26"/>
        <v>6.8181818181818179E-3</v>
      </c>
    </row>
    <row r="163" spans="1:10" x14ac:dyDescent="0.25">
      <c r="A163" s="1216"/>
      <c r="B163" s="1217"/>
      <c r="C163" s="1217"/>
      <c r="D163" s="1218"/>
      <c r="E163" s="480">
        <v>6</v>
      </c>
      <c r="F163" s="508">
        <f t="shared" si="25"/>
        <v>0</v>
      </c>
      <c r="G163" s="508">
        <f t="shared" si="25"/>
        <v>0</v>
      </c>
      <c r="H163" s="508">
        <f t="shared" si="25"/>
        <v>0</v>
      </c>
      <c r="I163" s="508">
        <f t="shared" si="25"/>
        <v>0</v>
      </c>
      <c r="J163" s="512">
        <f t="shared" si="26"/>
        <v>5.454545454545455E-3</v>
      </c>
    </row>
    <row r="164" spans="1:10" x14ac:dyDescent="0.25">
      <c r="A164" s="1216"/>
      <c r="B164" s="1217"/>
      <c r="C164" s="1217"/>
      <c r="D164" s="1218"/>
      <c r="E164" s="480">
        <v>7</v>
      </c>
      <c r="F164" s="508">
        <f t="shared" si="25"/>
        <v>0</v>
      </c>
      <c r="G164" s="508">
        <f t="shared" si="25"/>
        <v>0</v>
      </c>
      <c r="H164" s="508">
        <f t="shared" si="25"/>
        <v>0</v>
      </c>
      <c r="I164" s="508">
        <f t="shared" si="25"/>
        <v>0</v>
      </c>
      <c r="J164" s="512">
        <f t="shared" si="26"/>
        <v>4.0909090909090912E-3</v>
      </c>
    </row>
    <row r="165" spans="1:10" x14ac:dyDescent="0.25">
      <c r="A165" s="1216"/>
      <c r="B165" s="1217"/>
      <c r="C165" s="1217"/>
      <c r="D165" s="1218"/>
      <c r="E165" s="480">
        <v>8</v>
      </c>
      <c r="F165" s="508">
        <f t="shared" si="25"/>
        <v>0</v>
      </c>
      <c r="G165" s="508">
        <f t="shared" si="25"/>
        <v>0</v>
      </c>
      <c r="H165" s="508">
        <f t="shared" si="25"/>
        <v>0</v>
      </c>
      <c r="I165" s="508">
        <f t="shared" si="25"/>
        <v>0</v>
      </c>
      <c r="J165" s="512">
        <f t="shared" si="26"/>
        <v>2.7272727272727275E-3</v>
      </c>
    </row>
    <row r="166" spans="1:10" x14ac:dyDescent="0.25">
      <c r="A166" s="1216"/>
      <c r="B166" s="1217"/>
      <c r="C166" s="1217"/>
      <c r="D166" s="1218"/>
      <c r="E166" s="480">
        <v>9</v>
      </c>
      <c r="F166" s="508">
        <f t="shared" si="25"/>
        <v>0</v>
      </c>
      <c r="G166" s="508">
        <f t="shared" si="25"/>
        <v>0</v>
      </c>
      <c r="H166" s="508">
        <f t="shared" si="25"/>
        <v>0</v>
      </c>
      <c r="I166" s="508">
        <f t="shared" si="25"/>
        <v>0</v>
      </c>
      <c r="J166" s="512">
        <f t="shared" si="26"/>
        <v>1.3636363636363637E-3</v>
      </c>
    </row>
    <row r="167" spans="1:10" ht="15.75" thickBot="1" x14ac:dyDescent="0.3">
      <c r="A167" s="1219"/>
      <c r="B167" s="1220"/>
      <c r="C167" s="1220"/>
      <c r="D167" s="1221"/>
      <c r="E167" s="483">
        <v>10</v>
      </c>
      <c r="F167" s="510">
        <f t="shared" si="25"/>
        <v>0</v>
      </c>
      <c r="G167" s="510">
        <f t="shared" si="25"/>
        <v>0</v>
      </c>
      <c r="H167" s="510">
        <f t="shared" si="25"/>
        <v>0</v>
      </c>
      <c r="I167" s="510">
        <f t="shared" si="25"/>
        <v>0</v>
      </c>
      <c r="J167" s="513">
        <f t="shared" si="26"/>
        <v>0</v>
      </c>
    </row>
    <row r="168" spans="1:10" x14ac:dyDescent="0.25">
      <c r="A168" s="1213" t="s">
        <v>16</v>
      </c>
      <c r="B168" s="1214"/>
      <c r="C168" s="1214"/>
      <c r="D168" s="1215"/>
      <c r="E168" s="477">
        <v>0</v>
      </c>
      <c r="F168" s="506">
        <f t="shared" si="25"/>
        <v>0</v>
      </c>
      <c r="G168" s="506">
        <f t="shared" si="25"/>
        <v>0</v>
      </c>
      <c r="H168" s="506">
        <f t="shared" si="25"/>
        <v>0</v>
      </c>
      <c r="I168" s="506">
        <f t="shared" si="25"/>
        <v>0</v>
      </c>
      <c r="J168" s="507">
        <f t="shared" ref="J168:J180" si="27">G21</f>
        <v>1.2179487179487178E-2</v>
      </c>
    </row>
    <row r="169" spans="1:10" x14ac:dyDescent="0.25">
      <c r="A169" s="1216"/>
      <c r="B169" s="1217"/>
      <c r="C169" s="1217"/>
      <c r="D169" s="1218"/>
      <c r="E169" s="480">
        <v>1</v>
      </c>
      <c r="F169" s="508">
        <f t="shared" si="25"/>
        <v>0</v>
      </c>
      <c r="G169" s="508">
        <f t="shared" si="25"/>
        <v>0</v>
      </c>
      <c r="H169" s="508">
        <f t="shared" si="25"/>
        <v>0</v>
      </c>
      <c r="I169" s="508">
        <f t="shared" si="25"/>
        <v>0</v>
      </c>
      <c r="J169" s="512">
        <f t="shared" si="27"/>
        <v>1.1164529914529915E-2</v>
      </c>
    </row>
    <row r="170" spans="1:10" x14ac:dyDescent="0.25">
      <c r="A170" s="1216"/>
      <c r="B170" s="1217"/>
      <c r="C170" s="1217"/>
      <c r="D170" s="1218"/>
      <c r="E170" s="480">
        <v>2</v>
      </c>
      <c r="F170" s="508">
        <f t="shared" si="25"/>
        <v>0</v>
      </c>
      <c r="G170" s="508">
        <f t="shared" si="25"/>
        <v>0</v>
      </c>
      <c r="H170" s="508">
        <f t="shared" si="25"/>
        <v>0</v>
      </c>
      <c r="I170" s="508">
        <f t="shared" si="25"/>
        <v>0</v>
      </c>
      <c r="J170" s="512">
        <f t="shared" si="27"/>
        <v>1.014957264957265E-2</v>
      </c>
    </row>
    <row r="171" spans="1:10" x14ac:dyDescent="0.25">
      <c r="A171" s="1216"/>
      <c r="B171" s="1217"/>
      <c r="C171" s="1217"/>
      <c r="D171" s="1218"/>
      <c r="E171" s="480">
        <v>3</v>
      </c>
      <c r="F171" s="508">
        <f t="shared" si="25"/>
        <v>0</v>
      </c>
      <c r="G171" s="508">
        <f t="shared" si="25"/>
        <v>0</v>
      </c>
      <c r="H171" s="508">
        <f t="shared" si="25"/>
        <v>0</v>
      </c>
      <c r="I171" s="508">
        <f t="shared" si="25"/>
        <v>0</v>
      </c>
      <c r="J171" s="512">
        <f t="shared" si="27"/>
        <v>9.1346153846153834E-3</v>
      </c>
    </row>
    <row r="172" spans="1:10" x14ac:dyDescent="0.25">
      <c r="A172" s="1216"/>
      <c r="B172" s="1217"/>
      <c r="C172" s="1217"/>
      <c r="D172" s="1218"/>
      <c r="E172" s="480">
        <v>4</v>
      </c>
      <c r="F172" s="508">
        <f t="shared" si="25"/>
        <v>0</v>
      </c>
      <c r="G172" s="508">
        <f t="shared" si="25"/>
        <v>0</v>
      </c>
      <c r="H172" s="508">
        <f t="shared" si="25"/>
        <v>0</v>
      </c>
      <c r="I172" s="508">
        <f t="shared" si="25"/>
        <v>0</v>
      </c>
      <c r="J172" s="512">
        <f t="shared" si="27"/>
        <v>8.1196581196581203E-3</v>
      </c>
    </row>
    <row r="173" spans="1:10" x14ac:dyDescent="0.25">
      <c r="A173" s="1216"/>
      <c r="B173" s="1217"/>
      <c r="C173" s="1217"/>
      <c r="D173" s="1218"/>
      <c r="E173" s="480">
        <v>5</v>
      </c>
      <c r="F173" s="508">
        <f t="shared" si="25"/>
        <v>0</v>
      </c>
      <c r="G173" s="508">
        <f t="shared" si="25"/>
        <v>0</v>
      </c>
      <c r="H173" s="508">
        <f t="shared" si="25"/>
        <v>0</v>
      </c>
      <c r="I173" s="508">
        <f t="shared" si="25"/>
        <v>0</v>
      </c>
      <c r="J173" s="512">
        <f t="shared" si="27"/>
        <v>7.1047008547008537E-3</v>
      </c>
    </row>
    <row r="174" spans="1:10" x14ac:dyDescent="0.25">
      <c r="A174" s="1216"/>
      <c r="B174" s="1217"/>
      <c r="C174" s="1217"/>
      <c r="D174" s="1218"/>
      <c r="E174" s="480">
        <v>6</v>
      </c>
      <c r="F174" s="508">
        <f t="shared" si="25"/>
        <v>0</v>
      </c>
      <c r="G174" s="508">
        <f t="shared" si="25"/>
        <v>0</v>
      </c>
      <c r="H174" s="508">
        <f t="shared" si="25"/>
        <v>0</v>
      </c>
      <c r="I174" s="508">
        <f t="shared" si="25"/>
        <v>0</v>
      </c>
      <c r="J174" s="512">
        <f t="shared" si="27"/>
        <v>6.0897435897435889E-3</v>
      </c>
    </row>
    <row r="175" spans="1:10" x14ac:dyDescent="0.25">
      <c r="A175" s="1216"/>
      <c r="B175" s="1217"/>
      <c r="C175" s="1217"/>
      <c r="D175" s="1218"/>
      <c r="E175" s="480">
        <v>7</v>
      </c>
      <c r="F175" s="508">
        <f t="shared" si="25"/>
        <v>0</v>
      </c>
      <c r="G175" s="508">
        <f t="shared" si="25"/>
        <v>0</v>
      </c>
      <c r="H175" s="508">
        <f t="shared" si="25"/>
        <v>0</v>
      </c>
      <c r="I175" s="508">
        <f t="shared" si="25"/>
        <v>0</v>
      </c>
      <c r="J175" s="512">
        <f t="shared" si="27"/>
        <v>5.074786324786325E-3</v>
      </c>
    </row>
    <row r="176" spans="1:10" x14ac:dyDescent="0.25">
      <c r="A176" s="1216"/>
      <c r="B176" s="1217"/>
      <c r="C176" s="1217"/>
      <c r="D176" s="1218"/>
      <c r="E176" s="480">
        <v>8</v>
      </c>
      <c r="F176" s="508">
        <f t="shared" si="25"/>
        <v>0</v>
      </c>
      <c r="G176" s="508">
        <f t="shared" si="25"/>
        <v>0</v>
      </c>
      <c r="H176" s="508">
        <f t="shared" si="25"/>
        <v>0</v>
      </c>
      <c r="I176" s="508">
        <f t="shared" si="25"/>
        <v>0</v>
      </c>
      <c r="J176" s="512">
        <f t="shared" si="27"/>
        <v>4.0598290598290602E-3</v>
      </c>
    </row>
    <row r="177" spans="1:10" x14ac:dyDescent="0.25">
      <c r="A177" s="1216"/>
      <c r="B177" s="1217"/>
      <c r="C177" s="1217"/>
      <c r="D177" s="1218"/>
      <c r="E177" s="480">
        <v>9</v>
      </c>
      <c r="F177" s="508">
        <f t="shared" ref="F177:I193" si="28">F97*$J177</f>
        <v>0</v>
      </c>
      <c r="G177" s="508">
        <f t="shared" si="28"/>
        <v>0</v>
      </c>
      <c r="H177" s="508">
        <f t="shared" si="28"/>
        <v>0</v>
      </c>
      <c r="I177" s="508">
        <f t="shared" si="28"/>
        <v>0</v>
      </c>
      <c r="J177" s="512">
        <f t="shared" si="27"/>
        <v>3.0448717948717945E-3</v>
      </c>
    </row>
    <row r="178" spans="1:10" x14ac:dyDescent="0.25">
      <c r="A178" s="1216"/>
      <c r="B178" s="1217"/>
      <c r="C178" s="1217"/>
      <c r="D178" s="1218"/>
      <c r="E178" s="480">
        <v>10</v>
      </c>
      <c r="F178" s="508">
        <f t="shared" si="28"/>
        <v>0</v>
      </c>
      <c r="G178" s="508">
        <f t="shared" si="28"/>
        <v>0</v>
      </c>
      <c r="H178" s="508">
        <f t="shared" si="28"/>
        <v>0</v>
      </c>
      <c r="I178" s="508">
        <f t="shared" si="28"/>
        <v>0</v>
      </c>
      <c r="J178" s="512">
        <f t="shared" si="27"/>
        <v>2.0299145299145301E-3</v>
      </c>
    </row>
    <row r="179" spans="1:10" x14ac:dyDescent="0.25">
      <c r="A179" s="1216"/>
      <c r="B179" s="1217"/>
      <c r="C179" s="1217"/>
      <c r="D179" s="1218"/>
      <c r="E179" s="480">
        <v>11</v>
      </c>
      <c r="F179" s="508">
        <f t="shared" si="28"/>
        <v>0</v>
      </c>
      <c r="G179" s="508">
        <f t="shared" si="28"/>
        <v>0</v>
      </c>
      <c r="H179" s="508">
        <f t="shared" si="28"/>
        <v>0</v>
      </c>
      <c r="I179" s="508">
        <f t="shared" si="28"/>
        <v>0</v>
      </c>
      <c r="J179" s="512">
        <f t="shared" si="27"/>
        <v>1.014957264957265E-3</v>
      </c>
    </row>
    <row r="180" spans="1:10" ht="15.75" thickBot="1" x14ac:dyDescent="0.3">
      <c r="A180" s="1219"/>
      <c r="B180" s="1220"/>
      <c r="C180" s="1220"/>
      <c r="D180" s="1221"/>
      <c r="E180" s="483">
        <v>12</v>
      </c>
      <c r="F180" s="510">
        <f t="shared" si="28"/>
        <v>0</v>
      </c>
      <c r="G180" s="510">
        <f t="shared" si="28"/>
        <v>0</v>
      </c>
      <c r="H180" s="510">
        <f t="shared" si="28"/>
        <v>0</v>
      </c>
      <c r="I180" s="510">
        <f t="shared" si="28"/>
        <v>0</v>
      </c>
      <c r="J180" s="513">
        <f t="shared" si="27"/>
        <v>0</v>
      </c>
    </row>
    <row r="181" spans="1:10" x14ac:dyDescent="0.25">
      <c r="A181" s="1255" t="s">
        <v>17</v>
      </c>
      <c r="B181" s="1256"/>
      <c r="C181" s="1256"/>
      <c r="D181" s="1256"/>
      <c r="E181" s="477">
        <v>0</v>
      </c>
      <c r="F181" s="506">
        <f t="shared" si="28"/>
        <v>0</v>
      </c>
      <c r="G181" s="506">
        <f t="shared" si="28"/>
        <v>0</v>
      </c>
      <c r="H181" s="506">
        <f t="shared" si="28"/>
        <v>0</v>
      </c>
      <c r="I181" s="506">
        <f t="shared" si="28"/>
        <v>0</v>
      </c>
      <c r="J181" s="507">
        <f t="shared" ref="J181:J193" si="29">G21</f>
        <v>1.2179487179487178E-2</v>
      </c>
    </row>
    <row r="182" spans="1:10" x14ac:dyDescent="0.25">
      <c r="A182" s="1257"/>
      <c r="B182" s="1258"/>
      <c r="C182" s="1258"/>
      <c r="D182" s="1258"/>
      <c r="E182" s="480">
        <v>1</v>
      </c>
      <c r="F182" s="508">
        <f t="shared" si="28"/>
        <v>0</v>
      </c>
      <c r="G182" s="508">
        <f t="shared" si="28"/>
        <v>0</v>
      </c>
      <c r="H182" s="508">
        <f t="shared" si="28"/>
        <v>0</v>
      </c>
      <c r="I182" s="508">
        <f t="shared" si="28"/>
        <v>0</v>
      </c>
      <c r="J182" s="512">
        <f t="shared" si="29"/>
        <v>1.1164529914529915E-2</v>
      </c>
    </row>
    <row r="183" spans="1:10" x14ac:dyDescent="0.25">
      <c r="A183" s="1257"/>
      <c r="B183" s="1258"/>
      <c r="C183" s="1258"/>
      <c r="D183" s="1258"/>
      <c r="E183" s="480">
        <v>2</v>
      </c>
      <c r="F183" s="508">
        <f t="shared" si="28"/>
        <v>0</v>
      </c>
      <c r="G183" s="508">
        <f t="shared" si="28"/>
        <v>0</v>
      </c>
      <c r="H183" s="508">
        <f t="shared" si="28"/>
        <v>0</v>
      </c>
      <c r="I183" s="508">
        <f t="shared" si="28"/>
        <v>0</v>
      </c>
      <c r="J183" s="512">
        <f t="shared" si="29"/>
        <v>1.014957264957265E-2</v>
      </c>
    </row>
    <row r="184" spans="1:10" x14ac:dyDescent="0.25">
      <c r="A184" s="1257"/>
      <c r="B184" s="1258"/>
      <c r="C184" s="1258"/>
      <c r="D184" s="1258"/>
      <c r="E184" s="480">
        <v>3</v>
      </c>
      <c r="F184" s="508">
        <f t="shared" si="28"/>
        <v>0</v>
      </c>
      <c r="G184" s="508">
        <f t="shared" si="28"/>
        <v>0</v>
      </c>
      <c r="H184" s="508">
        <f t="shared" si="28"/>
        <v>0</v>
      </c>
      <c r="I184" s="508">
        <f t="shared" si="28"/>
        <v>0</v>
      </c>
      <c r="J184" s="512">
        <f t="shared" si="29"/>
        <v>9.1346153846153834E-3</v>
      </c>
    </row>
    <row r="185" spans="1:10" x14ac:dyDescent="0.25">
      <c r="A185" s="1257"/>
      <c r="B185" s="1258"/>
      <c r="C185" s="1258"/>
      <c r="D185" s="1258"/>
      <c r="E185" s="480">
        <v>4</v>
      </c>
      <c r="F185" s="508">
        <f t="shared" si="28"/>
        <v>0</v>
      </c>
      <c r="G185" s="508">
        <f t="shared" si="28"/>
        <v>0</v>
      </c>
      <c r="H185" s="508">
        <f t="shared" si="28"/>
        <v>0</v>
      </c>
      <c r="I185" s="508">
        <f t="shared" si="28"/>
        <v>0</v>
      </c>
      <c r="J185" s="512">
        <f t="shared" si="29"/>
        <v>8.1196581196581203E-3</v>
      </c>
    </row>
    <row r="186" spans="1:10" x14ac:dyDescent="0.25">
      <c r="A186" s="1257"/>
      <c r="B186" s="1258"/>
      <c r="C186" s="1258"/>
      <c r="D186" s="1258"/>
      <c r="E186" s="480">
        <v>5</v>
      </c>
      <c r="F186" s="508">
        <f t="shared" si="28"/>
        <v>0</v>
      </c>
      <c r="G186" s="508">
        <f t="shared" si="28"/>
        <v>0</v>
      </c>
      <c r="H186" s="508">
        <f t="shared" si="28"/>
        <v>0</v>
      </c>
      <c r="I186" s="508">
        <f t="shared" si="28"/>
        <v>0</v>
      </c>
      <c r="J186" s="512">
        <f t="shared" si="29"/>
        <v>7.1047008547008537E-3</v>
      </c>
    </row>
    <row r="187" spans="1:10" x14ac:dyDescent="0.25">
      <c r="A187" s="1257"/>
      <c r="B187" s="1258"/>
      <c r="C187" s="1258"/>
      <c r="D187" s="1258"/>
      <c r="E187" s="480">
        <v>6</v>
      </c>
      <c r="F187" s="508">
        <f t="shared" si="28"/>
        <v>0</v>
      </c>
      <c r="G187" s="508">
        <f t="shared" si="28"/>
        <v>0</v>
      </c>
      <c r="H187" s="508">
        <f t="shared" si="28"/>
        <v>0</v>
      </c>
      <c r="I187" s="508">
        <f t="shared" si="28"/>
        <v>0</v>
      </c>
      <c r="J187" s="512">
        <f t="shared" si="29"/>
        <v>6.0897435897435889E-3</v>
      </c>
    </row>
    <row r="188" spans="1:10" x14ac:dyDescent="0.25">
      <c r="A188" s="1257"/>
      <c r="B188" s="1258"/>
      <c r="C188" s="1258"/>
      <c r="D188" s="1258"/>
      <c r="E188" s="480">
        <v>7</v>
      </c>
      <c r="F188" s="508">
        <f t="shared" si="28"/>
        <v>0</v>
      </c>
      <c r="G188" s="508">
        <f t="shared" si="28"/>
        <v>0</v>
      </c>
      <c r="H188" s="508">
        <f t="shared" si="28"/>
        <v>0</v>
      </c>
      <c r="I188" s="508">
        <f t="shared" si="28"/>
        <v>0</v>
      </c>
      <c r="J188" s="512">
        <f t="shared" si="29"/>
        <v>5.074786324786325E-3</v>
      </c>
    </row>
    <row r="189" spans="1:10" x14ac:dyDescent="0.25">
      <c r="A189" s="1257"/>
      <c r="B189" s="1258"/>
      <c r="C189" s="1258"/>
      <c r="D189" s="1258"/>
      <c r="E189" s="480">
        <v>8</v>
      </c>
      <c r="F189" s="508">
        <f t="shared" si="28"/>
        <v>0</v>
      </c>
      <c r="G189" s="508">
        <f t="shared" si="28"/>
        <v>0</v>
      </c>
      <c r="H189" s="508">
        <f t="shared" si="28"/>
        <v>0</v>
      </c>
      <c r="I189" s="508">
        <f t="shared" si="28"/>
        <v>0</v>
      </c>
      <c r="J189" s="512">
        <f t="shared" si="29"/>
        <v>4.0598290598290602E-3</v>
      </c>
    </row>
    <row r="190" spans="1:10" x14ac:dyDescent="0.25">
      <c r="A190" s="1257"/>
      <c r="B190" s="1258"/>
      <c r="C190" s="1258"/>
      <c r="D190" s="1258"/>
      <c r="E190" s="480">
        <v>9</v>
      </c>
      <c r="F190" s="508">
        <f t="shared" si="28"/>
        <v>0</v>
      </c>
      <c r="G190" s="508">
        <f t="shared" si="28"/>
        <v>0</v>
      </c>
      <c r="H190" s="508">
        <f t="shared" si="28"/>
        <v>0</v>
      </c>
      <c r="I190" s="508">
        <f t="shared" si="28"/>
        <v>0</v>
      </c>
      <c r="J190" s="512">
        <f t="shared" si="29"/>
        <v>3.0448717948717945E-3</v>
      </c>
    </row>
    <row r="191" spans="1:10" x14ac:dyDescent="0.25">
      <c r="A191" s="1257"/>
      <c r="B191" s="1258"/>
      <c r="C191" s="1258"/>
      <c r="D191" s="1258"/>
      <c r="E191" s="480">
        <v>10</v>
      </c>
      <c r="F191" s="508">
        <f t="shared" si="28"/>
        <v>0</v>
      </c>
      <c r="G191" s="508">
        <f t="shared" si="28"/>
        <v>0</v>
      </c>
      <c r="H191" s="508">
        <f t="shared" si="28"/>
        <v>0</v>
      </c>
      <c r="I191" s="508">
        <f t="shared" si="28"/>
        <v>0</v>
      </c>
      <c r="J191" s="512">
        <f t="shared" si="29"/>
        <v>2.0299145299145301E-3</v>
      </c>
    </row>
    <row r="192" spans="1:10" x14ac:dyDescent="0.25">
      <c r="A192" s="1257"/>
      <c r="B192" s="1258"/>
      <c r="C192" s="1258"/>
      <c r="D192" s="1258"/>
      <c r="E192" s="480">
        <v>11</v>
      </c>
      <c r="F192" s="508">
        <f t="shared" si="28"/>
        <v>0</v>
      </c>
      <c r="G192" s="508">
        <f t="shared" si="28"/>
        <v>0</v>
      </c>
      <c r="H192" s="508">
        <f t="shared" si="28"/>
        <v>0</v>
      </c>
      <c r="I192" s="508">
        <f t="shared" si="28"/>
        <v>0</v>
      </c>
      <c r="J192" s="512">
        <f t="shared" si="29"/>
        <v>1.014957264957265E-3</v>
      </c>
    </row>
    <row r="193" spans="1:10" ht="15.75" thickBot="1" x14ac:dyDescent="0.3">
      <c r="A193" s="1259"/>
      <c r="B193" s="1260"/>
      <c r="C193" s="1260"/>
      <c r="D193" s="1260"/>
      <c r="E193" s="483">
        <v>12</v>
      </c>
      <c r="F193" s="510">
        <f t="shared" si="28"/>
        <v>0</v>
      </c>
      <c r="G193" s="510">
        <f t="shared" si="28"/>
        <v>0</v>
      </c>
      <c r="H193" s="510">
        <f t="shared" si="28"/>
        <v>0</v>
      </c>
      <c r="I193" s="510">
        <f t="shared" si="28"/>
        <v>0</v>
      </c>
      <c r="J193" s="513">
        <f t="shared" si="29"/>
        <v>0</v>
      </c>
    </row>
    <row r="195" spans="1:10" ht="15.75" thickBot="1" x14ac:dyDescent="0.3">
      <c r="A195" s="61" t="s">
        <v>679</v>
      </c>
      <c r="B195" s="61" t="s">
        <v>129</v>
      </c>
    </row>
    <row r="196" spans="1:10" x14ac:dyDescent="0.25">
      <c r="A196" s="1263" t="s">
        <v>8</v>
      </c>
      <c r="B196" s="1264"/>
      <c r="C196" s="1264"/>
      <c r="D196" s="1264"/>
      <c r="E196" s="1285" t="s">
        <v>115</v>
      </c>
      <c r="F196" s="1261" t="s">
        <v>6</v>
      </c>
      <c r="G196" s="1267"/>
      <c r="H196" s="1261" t="s">
        <v>7</v>
      </c>
      <c r="I196" s="1262"/>
      <c r="J196" s="1242"/>
    </row>
    <row r="197" spans="1:10" x14ac:dyDescent="0.25">
      <c r="A197" s="1265"/>
      <c r="B197" s="1121"/>
      <c r="C197" s="1121"/>
      <c r="D197" s="1121"/>
      <c r="E197" s="1286"/>
      <c r="F197" s="294" t="s">
        <v>9</v>
      </c>
      <c r="G197" s="294" t="s">
        <v>10</v>
      </c>
      <c r="H197" s="294" t="s">
        <v>9</v>
      </c>
      <c r="I197" s="515" t="s">
        <v>10</v>
      </c>
      <c r="J197" s="1242"/>
    </row>
    <row r="198" spans="1:10" x14ac:dyDescent="0.25">
      <c r="A198" s="1222" t="s">
        <v>124</v>
      </c>
      <c r="B198" s="1223"/>
      <c r="C198" s="1223"/>
      <c r="D198" s="1224"/>
      <c r="E198" s="486">
        <v>0</v>
      </c>
      <c r="F198" s="516" t="str">
        <f>IFERROR(F118*'ANTP_2.1.b Veículos'!D$50,"")</f>
        <v/>
      </c>
      <c r="G198" s="516" t="str">
        <f>IFERROR(G118*'ANTP_2.1.b Veículos'!E$50,"")</f>
        <v/>
      </c>
      <c r="H198" s="516" t="str">
        <f>IFERROR(H118*'ANTP_2.1.b Veículos'!F$50,"")</f>
        <v/>
      </c>
      <c r="I198" s="516" t="str">
        <f>IFERROR(I118*'ANTP_2.1.b Veículos'!G$50,"")</f>
        <v/>
      </c>
      <c r="J198" s="517"/>
    </row>
    <row r="199" spans="1:10" x14ac:dyDescent="0.25">
      <c r="A199" s="1216"/>
      <c r="B199" s="1217"/>
      <c r="C199" s="1217"/>
      <c r="D199" s="1218"/>
      <c r="E199" s="480">
        <v>1</v>
      </c>
      <c r="F199" s="516" t="str">
        <f>IFERROR(F119*'ANTP_2.1.b Veículos'!D$50,"")</f>
        <v/>
      </c>
      <c r="G199" s="516" t="str">
        <f>IFERROR(G119*'ANTP_2.1.b Veículos'!E$50,"")</f>
        <v/>
      </c>
      <c r="H199" s="516" t="str">
        <f>IFERROR(H119*'ANTP_2.1.b Veículos'!F$50,"")</f>
        <v/>
      </c>
      <c r="I199" s="516" t="str">
        <f>IFERROR(I119*'ANTP_2.1.b Veículos'!G$50,"")</f>
        <v/>
      </c>
      <c r="J199" s="517"/>
    </row>
    <row r="200" spans="1:10" x14ac:dyDescent="0.25">
      <c r="A200" s="1216"/>
      <c r="B200" s="1217"/>
      <c r="C200" s="1217"/>
      <c r="D200" s="1218"/>
      <c r="E200" s="480">
        <v>2</v>
      </c>
      <c r="F200" s="516" t="str">
        <f>IFERROR(F120*'ANTP_2.1.b Veículos'!D$50,"")</f>
        <v/>
      </c>
      <c r="G200" s="516" t="str">
        <f>IFERROR(G120*'ANTP_2.1.b Veículos'!E$50,"")</f>
        <v/>
      </c>
      <c r="H200" s="516" t="str">
        <f>IFERROR(H120*'ANTP_2.1.b Veículos'!F$50,"")</f>
        <v/>
      </c>
      <c r="I200" s="516" t="str">
        <f>IFERROR(I120*'ANTP_2.1.b Veículos'!G$50,"")</f>
        <v/>
      </c>
      <c r="J200" s="517"/>
    </row>
    <row r="201" spans="1:10" x14ac:dyDescent="0.25">
      <c r="A201" s="1216"/>
      <c r="B201" s="1217"/>
      <c r="C201" s="1217"/>
      <c r="D201" s="1218"/>
      <c r="E201" s="480">
        <v>3</v>
      </c>
      <c r="F201" s="516" t="str">
        <f>IFERROR(F121*'ANTP_2.1.b Veículos'!D$50,"")</f>
        <v/>
      </c>
      <c r="G201" s="516" t="str">
        <f>IFERROR(G121*'ANTP_2.1.b Veículos'!E$50,"")</f>
        <v/>
      </c>
      <c r="H201" s="516" t="str">
        <f>IFERROR(H121*'ANTP_2.1.b Veículos'!F$50,"")</f>
        <v/>
      </c>
      <c r="I201" s="516" t="str">
        <f>IFERROR(I121*'ANTP_2.1.b Veículos'!G$50,"")</f>
        <v/>
      </c>
      <c r="J201" s="517"/>
    </row>
    <row r="202" spans="1:10" x14ac:dyDescent="0.25">
      <c r="A202" s="1216"/>
      <c r="B202" s="1217"/>
      <c r="C202" s="1217"/>
      <c r="D202" s="1218"/>
      <c r="E202" s="480">
        <v>4</v>
      </c>
      <c r="F202" s="516" t="str">
        <f>IFERROR(F122*'ANTP_2.1.b Veículos'!D$50,"")</f>
        <v/>
      </c>
      <c r="G202" s="516" t="str">
        <f>IFERROR(G122*'ANTP_2.1.b Veículos'!E$50,"")</f>
        <v/>
      </c>
      <c r="H202" s="516" t="str">
        <f>IFERROR(H122*'ANTP_2.1.b Veículos'!F$50,"")</f>
        <v/>
      </c>
      <c r="I202" s="516" t="str">
        <f>IFERROR(I122*'ANTP_2.1.b Veículos'!G$50,"")</f>
        <v/>
      </c>
      <c r="J202" s="517"/>
    </row>
    <row r="203" spans="1:10" x14ac:dyDescent="0.25">
      <c r="A203" s="1225"/>
      <c r="B203" s="1226"/>
      <c r="C203" s="1226"/>
      <c r="D203" s="1227"/>
      <c r="E203" s="480">
        <v>5</v>
      </c>
      <c r="F203" s="516" t="str">
        <f>IFERROR(F123*'ANTP_2.1.b Veículos'!D$50,"")</f>
        <v/>
      </c>
      <c r="G203" s="516" t="str">
        <f>IFERROR(G123*'ANTP_2.1.b Veículos'!E$50,"")</f>
        <v/>
      </c>
      <c r="H203" s="516" t="str">
        <f>IFERROR(H123*'ANTP_2.1.b Veículos'!F$50,"")</f>
        <v/>
      </c>
      <c r="I203" s="516" t="str">
        <f>IFERROR(I123*'ANTP_2.1.b Veículos'!G$50,"")</f>
        <v/>
      </c>
      <c r="J203" s="517"/>
    </row>
    <row r="204" spans="1:10" x14ac:dyDescent="0.25">
      <c r="A204" s="1222" t="s">
        <v>12</v>
      </c>
      <c r="B204" s="1223"/>
      <c r="C204" s="1223"/>
      <c r="D204" s="1224"/>
      <c r="E204" s="480">
        <v>0</v>
      </c>
      <c r="F204" s="516">
        <f>IFERROR(F124*'ANTP_2.1.b Veículos'!D$51,"")</f>
        <v>0</v>
      </c>
      <c r="G204" s="516" t="str">
        <f>IFERROR(G124*'ANTP_2.1.b Veículos'!E$51,"")</f>
        <v/>
      </c>
      <c r="H204" s="516" t="str">
        <f>IFERROR(H124*'ANTP_2.1.b Veículos'!F$51,"")</f>
        <v/>
      </c>
      <c r="I204" s="516" t="str">
        <f>IFERROR(I124*'ANTP_2.1.b Veículos'!G$51,"")</f>
        <v/>
      </c>
      <c r="J204" s="517"/>
    </row>
    <row r="205" spans="1:10" x14ac:dyDescent="0.25">
      <c r="A205" s="1216"/>
      <c r="B205" s="1217"/>
      <c r="C205" s="1217"/>
      <c r="D205" s="1218"/>
      <c r="E205" s="480">
        <v>1</v>
      </c>
      <c r="F205" s="516">
        <f>IFERROR(F125*'ANTP_2.1.b Veículos'!D$51,"")</f>
        <v>0</v>
      </c>
      <c r="G205" s="516" t="str">
        <f>IFERROR(G125*'ANTP_2.1.b Veículos'!E$51,"")</f>
        <v/>
      </c>
      <c r="H205" s="516" t="str">
        <f>IFERROR(H125*'ANTP_2.1.b Veículos'!F$51,"")</f>
        <v/>
      </c>
      <c r="I205" s="516" t="str">
        <f>IFERROR(I125*'ANTP_2.1.b Veículos'!G$51,"")</f>
        <v/>
      </c>
      <c r="J205" s="517"/>
    </row>
    <row r="206" spans="1:10" x14ac:dyDescent="0.25">
      <c r="A206" s="1216"/>
      <c r="B206" s="1217"/>
      <c r="C206" s="1217"/>
      <c r="D206" s="1218"/>
      <c r="E206" s="480">
        <v>2</v>
      </c>
      <c r="F206" s="516">
        <f>IFERROR(F126*'ANTP_2.1.b Veículos'!D$51,"")</f>
        <v>0</v>
      </c>
      <c r="G206" s="516" t="str">
        <f>IFERROR(G126*'ANTP_2.1.b Veículos'!E$51,"")</f>
        <v/>
      </c>
      <c r="H206" s="516" t="str">
        <f>IFERROR(H126*'ANTP_2.1.b Veículos'!F$51,"")</f>
        <v/>
      </c>
      <c r="I206" s="516" t="str">
        <f>IFERROR(I126*'ANTP_2.1.b Veículos'!G$51,"")</f>
        <v/>
      </c>
      <c r="J206" s="517"/>
    </row>
    <row r="207" spans="1:10" x14ac:dyDescent="0.25">
      <c r="A207" s="1216"/>
      <c r="B207" s="1217"/>
      <c r="C207" s="1217"/>
      <c r="D207" s="1218"/>
      <c r="E207" s="480">
        <v>3</v>
      </c>
      <c r="F207" s="516">
        <f>IFERROR(F127*'ANTP_2.1.b Veículos'!D$51,"")</f>
        <v>0</v>
      </c>
      <c r="G207" s="516" t="str">
        <f>IFERROR(G127*'ANTP_2.1.b Veículos'!E$51,"")</f>
        <v/>
      </c>
      <c r="H207" s="516" t="str">
        <f>IFERROR(H127*'ANTP_2.1.b Veículos'!F$51,"")</f>
        <v/>
      </c>
      <c r="I207" s="516" t="str">
        <f>IFERROR(I127*'ANTP_2.1.b Veículos'!G$51,"")</f>
        <v/>
      </c>
      <c r="J207" s="517"/>
    </row>
    <row r="208" spans="1:10" x14ac:dyDescent="0.25">
      <c r="A208" s="1216"/>
      <c r="B208" s="1217"/>
      <c r="C208" s="1217"/>
      <c r="D208" s="1218"/>
      <c r="E208" s="480">
        <v>4</v>
      </c>
      <c r="F208" s="516">
        <f>IFERROR(F128*'ANTP_2.1.b Veículos'!D$51,"")</f>
        <v>0</v>
      </c>
      <c r="G208" s="516" t="str">
        <f>IFERROR(G128*'ANTP_2.1.b Veículos'!E$51,"")</f>
        <v/>
      </c>
      <c r="H208" s="516" t="str">
        <f>IFERROR(H128*'ANTP_2.1.b Veículos'!F$51,"")</f>
        <v/>
      </c>
      <c r="I208" s="516" t="str">
        <f>IFERROR(I128*'ANTP_2.1.b Veículos'!G$51,"")</f>
        <v/>
      </c>
      <c r="J208" s="517"/>
    </row>
    <row r="209" spans="1:10" x14ac:dyDescent="0.25">
      <c r="A209" s="1216"/>
      <c r="B209" s="1217"/>
      <c r="C209" s="1217"/>
      <c r="D209" s="1218"/>
      <c r="E209" s="480">
        <v>5</v>
      </c>
      <c r="F209" s="516">
        <f>IFERROR(F129*'ANTP_2.1.b Veículos'!D$51,"")</f>
        <v>0</v>
      </c>
      <c r="G209" s="516" t="str">
        <f>IFERROR(G129*'ANTP_2.1.b Veículos'!E$51,"")</f>
        <v/>
      </c>
      <c r="H209" s="516" t="str">
        <f>IFERROR(H129*'ANTP_2.1.b Veículos'!F$51,"")</f>
        <v/>
      </c>
      <c r="I209" s="516" t="str">
        <f>IFERROR(I129*'ANTP_2.1.b Veículos'!G$51,"")</f>
        <v/>
      </c>
      <c r="J209" s="517"/>
    </row>
    <row r="210" spans="1:10" x14ac:dyDescent="0.25">
      <c r="A210" s="1216"/>
      <c r="B210" s="1217"/>
      <c r="C210" s="1217"/>
      <c r="D210" s="1218"/>
      <c r="E210" s="480">
        <v>6</v>
      </c>
      <c r="F210" s="516">
        <f>IFERROR(F130*'ANTP_2.1.b Veículos'!D$51,"")</f>
        <v>0</v>
      </c>
      <c r="G210" s="516" t="str">
        <f>IFERROR(G130*'ANTP_2.1.b Veículos'!E$51,"")</f>
        <v/>
      </c>
      <c r="H210" s="516" t="str">
        <f>IFERROR(H130*'ANTP_2.1.b Veículos'!F$51,"")</f>
        <v/>
      </c>
      <c r="I210" s="516" t="str">
        <f>IFERROR(I130*'ANTP_2.1.b Veículos'!G$51,"")</f>
        <v/>
      </c>
      <c r="J210" s="517"/>
    </row>
    <row r="211" spans="1:10" x14ac:dyDescent="0.25">
      <c r="A211" s="1216"/>
      <c r="B211" s="1217"/>
      <c r="C211" s="1217"/>
      <c r="D211" s="1218"/>
      <c r="E211" s="480">
        <v>7</v>
      </c>
      <c r="F211" s="516">
        <f>IFERROR(F131*'ANTP_2.1.b Veículos'!D$51,"")</f>
        <v>0</v>
      </c>
      <c r="G211" s="516" t="str">
        <f>IFERROR(G131*'ANTP_2.1.b Veículos'!E$51,"")</f>
        <v/>
      </c>
      <c r="H211" s="516" t="str">
        <f>IFERROR(H131*'ANTP_2.1.b Veículos'!F$51,"")</f>
        <v/>
      </c>
      <c r="I211" s="516" t="str">
        <f>IFERROR(I131*'ANTP_2.1.b Veículos'!G$51,"")</f>
        <v/>
      </c>
      <c r="J211" s="517"/>
    </row>
    <row r="212" spans="1:10" x14ac:dyDescent="0.25">
      <c r="A212" s="1216"/>
      <c r="B212" s="1217"/>
      <c r="C212" s="1217"/>
      <c r="D212" s="1218"/>
      <c r="E212" s="480">
        <v>8</v>
      </c>
      <c r="F212" s="516">
        <f>IFERROR(F132*'ANTP_2.1.b Veículos'!D$51,"")</f>
        <v>0</v>
      </c>
      <c r="G212" s="516" t="str">
        <f>IFERROR(G132*'ANTP_2.1.b Veículos'!E$51,"")</f>
        <v/>
      </c>
      <c r="H212" s="516" t="str">
        <f>IFERROR(H132*'ANTP_2.1.b Veículos'!F$51,"")</f>
        <v/>
      </c>
      <c r="I212" s="516" t="str">
        <f>IFERROR(I132*'ANTP_2.1.b Veículos'!G$51,"")</f>
        <v/>
      </c>
      <c r="J212" s="517"/>
    </row>
    <row r="213" spans="1:10" x14ac:dyDescent="0.25">
      <c r="A213" s="1216"/>
      <c r="B213" s="1217"/>
      <c r="C213" s="1217"/>
      <c r="D213" s="1218"/>
      <c r="E213" s="480">
        <v>9</v>
      </c>
      <c r="F213" s="516">
        <f>IFERROR(F133*'ANTP_2.1.b Veículos'!D$51,"")</f>
        <v>0</v>
      </c>
      <c r="G213" s="516" t="str">
        <f>IFERROR(G133*'ANTP_2.1.b Veículos'!E$51,"")</f>
        <v/>
      </c>
      <c r="H213" s="516" t="str">
        <f>IFERROR(H133*'ANTP_2.1.b Veículos'!F$51,"")</f>
        <v/>
      </c>
      <c r="I213" s="516" t="str">
        <f>IFERROR(I133*'ANTP_2.1.b Veículos'!G$51,"")</f>
        <v/>
      </c>
      <c r="J213" s="517"/>
    </row>
    <row r="214" spans="1:10" x14ac:dyDescent="0.25">
      <c r="A214" s="1225"/>
      <c r="B214" s="1226"/>
      <c r="C214" s="1226"/>
      <c r="D214" s="1227"/>
      <c r="E214" s="480">
        <v>10</v>
      </c>
      <c r="F214" s="516">
        <f>IFERROR(F134*'ANTP_2.1.b Veículos'!D$51,"")</f>
        <v>0</v>
      </c>
      <c r="G214" s="516" t="str">
        <f>IFERROR(G134*'ANTP_2.1.b Veículos'!E$51,"")</f>
        <v/>
      </c>
      <c r="H214" s="516" t="str">
        <f>IFERROR(H134*'ANTP_2.1.b Veículos'!F$51,"")</f>
        <v/>
      </c>
      <c r="I214" s="516" t="str">
        <f>IFERROR(I134*'ANTP_2.1.b Veículos'!G$51,"")</f>
        <v/>
      </c>
      <c r="J214" s="517"/>
    </row>
    <row r="215" spans="1:10" x14ac:dyDescent="0.25">
      <c r="A215" s="1222" t="s">
        <v>13</v>
      </c>
      <c r="B215" s="1223"/>
      <c r="C215" s="1223"/>
      <c r="D215" s="1224"/>
      <c r="E215" s="480">
        <v>0</v>
      </c>
      <c r="F215" s="516">
        <f>IFERROR(F135*'ANTP_2.1.b Veículos'!D$52,"")</f>
        <v>0</v>
      </c>
      <c r="G215" s="516" t="str">
        <f>IFERROR(G135*'ANTP_2.1.b Veículos'!E$52,"")</f>
        <v/>
      </c>
      <c r="H215" s="516" t="str">
        <f>IFERROR(H135*'ANTP_2.1.b Veículos'!F$52,"")</f>
        <v/>
      </c>
      <c r="I215" s="516" t="str">
        <f>IFERROR(I135*'ANTP_2.1.b Veículos'!G$52,"")</f>
        <v/>
      </c>
      <c r="J215" s="517"/>
    </row>
    <row r="216" spans="1:10" x14ac:dyDescent="0.25">
      <c r="A216" s="1216"/>
      <c r="B216" s="1217"/>
      <c r="C216" s="1217"/>
      <c r="D216" s="1218"/>
      <c r="E216" s="480">
        <v>1</v>
      </c>
      <c r="F216" s="516">
        <f>IFERROR(F136*'ANTP_2.1.b Veículos'!D$52,"")</f>
        <v>0</v>
      </c>
      <c r="G216" s="516" t="str">
        <f>IFERROR(G136*'ANTP_2.1.b Veículos'!E$52,"")</f>
        <v/>
      </c>
      <c r="H216" s="516" t="str">
        <f>IFERROR(H136*'ANTP_2.1.b Veículos'!F$52,"")</f>
        <v/>
      </c>
      <c r="I216" s="516" t="str">
        <f>IFERROR(I136*'ANTP_2.1.b Veículos'!G$52,"")</f>
        <v/>
      </c>
      <c r="J216" s="517"/>
    </row>
    <row r="217" spans="1:10" x14ac:dyDescent="0.25">
      <c r="A217" s="1216"/>
      <c r="B217" s="1217"/>
      <c r="C217" s="1217"/>
      <c r="D217" s="1218"/>
      <c r="E217" s="480">
        <v>2</v>
      </c>
      <c r="F217" s="516">
        <f>IFERROR(F137*'ANTP_2.1.b Veículos'!D$52,"")</f>
        <v>0</v>
      </c>
      <c r="G217" s="516" t="str">
        <f>IFERROR(G137*'ANTP_2.1.b Veículos'!E$52,"")</f>
        <v/>
      </c>
      <c r="H217" s="516" t="str">
        <f>IFERROR(H137*'ANTP_2.1.b Veículos'!F$52,"")</f>
        <v/>
      </c>
      <c r="I217" s="516" t="str">
        <f>IFERROR(I137*'ANTP_2.1.b Veículos'!G$52,"")</f>
        <v/>
      </c>
      <c r="J217" s="517"/>
    </row>
    <row r="218" spans="1:10" x14ac:dyDescent="0.25">
      <c r="A218" s="1216"/>
      <c r="B218" s="1217"/>
      <c r="C218" s="1217"/>
      <c r="D218" s="1218"/>
      <c r="E218" s="480">
        <v>3</v>
      </c>
      <c r="F218" s="516">
        <f>IFERROR(F138*'ANTP_2.1.b Veículos'!D$52,"")</f>
        <v>0</v>
      </c>
      <c r="G218" s="516" t="str">
        <f>IFERROR(G138*'ANTP_2.1.b Veículos'!E$52,"")</f>
        <v/>
      </c>
      <c r="H218" s="516" t="str">
        <f>IFERROR(H138*'ANTP_2.1.b Veículos'!F$52,"")</f>
        <v/>
      </c>
      <c r="I218" s="516" t="str">
        <f>IFERROR(I138*'ANTP_2.1.b Veículos'!G$52,"")</f>
        <v/>
      </c>
      <c r="J218" s="517"/>
    </row>
    <row r="219" spans="1:10" x14ac:dyDescent="0.25">
      <c r="A219" s="1216"/>
      <c r="B219" s="1217"/>
      <c r="C219" s="1217"/>
      <c r="D219" s="1218"/>
      <c r="E219" s="480">
        <v>4</v>
      </c>
      <c r="F219" s="516">
        <f>IFERROR(F139*'ANTP_2.1.b Veículos'!D$52,"")</f>
        <v>0</v>
      </c>
      <c r="G219" s="516" t="str">
        <f>IFERROR(G139*'ANTP_2.1.b Veículos'!E$52,"")</f>
        <v/>
      </c>
      <c r="H219" s="516" t="str">
        <f>IFERROR(H139*'ANTP_2.1.b Veículos'!F$52,"")</f>
        <v/>
      </c>
      <c r="I219" s="516" t="str">
        <f>IFERROR(I139*'ANTP_2.1.b Veículos'!G$52,"")</f>
        <v/>
      </c>
      <c r="J219" s="517"/>
    </row>
    <row r="220" spans="1:10" x14ac:dyDescent="0.25">
      <c r="A220" s="1216"/>
      <c r="B220" s="1217"/>
      <c r="C220" s="1217"/>
      <c r="D220" s="1218"/>
      <c r="E220" s="480">
        <v>5</v>
      </c>
      <c r="F220" s="516">
        <f>IFERROR(F140*'ANTP_2.1.b Veículos'!D$52,"")</f>
        <v>0</v>
      </c>
      <c r="G220" s="516" t="str">
        <f>IFERROR(G140*'ANTP_2.1.b Veículos'!E$52,"")</f>
        <v/>
      </c>
      <c r="H220" s="516" t="str">
        <f>IFERROR(H140*'ANTP_2.1.b Veículos'!F$52,"")</f>
        <v/>
      </c>
      <c r="I220" s="516" t="str">
        <f>IFERROR(I140*'ANTP_2.1.b Veículos'!G$52,"")</f>
        <v/>
      </c>
      <c r="J220" s="517"/>
    </row>
    <row r="221" spans="1:10" x14ac:dyDescent="0.25">
      <c r="A221" s="1216"/>
      <c r="B221" s="1217"/>
      <c r="C221" s="1217"/>
      <c r="D221" s="1218"/>
      <c r="E221" s="480">
        <v>6</v>
      </c>
      <c r="F221" s="516">
        <f>IFERROR(F141*'ANTP_2.1.b Veículos'!D$52,"")</f>
        <v>0</v>
      </c>
      <c r="G221" s="516" t="str">
        <f>IFERROR(G141*'ANTP_2.1.b Veículos'!E$52,"")</f>
        <v/>
      </c>
      <c r="H221" s="516" t="str">
        <f>IFERROR(H141*'ANTP_2.1.b Veículos'!F$52,"")</f>
        <v/>
      </c>
      <c r="I221" s="516" t="str">
        <f>IFERROR(I141*'ANTP_2.1.b Veículos'!G$52,"")</f>
        <v/>
      </c>
      <c r="J221" s="517"/>
    </row>
    <row r="222" spans="1:10" x14ac:dyDescent="0.25">
      <c r="A222" s="1216"/>
      <c r="B222" s="1217"/>
      <c r="C222" s="1217"/>
      <c r="D222" s="1218"/>
      <c r="E222" s="480">
        <v>7</v>
      </c>
      <c r="F222" s="516">
        <f>IFERROR(F142*'ANTP_2.1.b Veículos'!D$52,"")</f>
        <v>0</v>
      </c>
      <c r="G222" s="516" t="str">
        <f>IFERROR(G142*'ANTP_2.1.b Veículos'!E$52,"")</f>
        <v/>
      </c>
      <c r="H222" s="516" t="str">
        <f>IFERROR(H142*'ANTP_2.1.b Veículos'!F$52,"")</f>
        <v/>
      </c>
      <c r="I222" s="516" t="str">
        <f>IFERROR(I142*'ANTP_2.1.b Veículos'!G$52,"")</f>
        <v/>
      </c>
      <c r="J222" s="517"/>
    </row>
    <row r="223" spans="1:10" x14ac:dyDescent="0.25">
      <c r="A223" s="1216"/>
      <c r="B223" s="1217"/>
      <c r="C223" s="1217"/>
      <c r="D223" s="1218"/>
      <c r="E223" s="480">
        <v>8</v>
      </c>
      <c r="F223" s="516">
        <f>IFERROR(F143*'ANTP_2.1.b Veículos'!D$52,"")</f>
        <v>0</v>
      </c>
      <c r="G223" s="516" t="str">
        <f>IFERROR(G143*'ANTP_2.1.b Veículos'!E$52,"")</f>
        <v/>
      </c>
      <c r="H223" s="516" t="str">
        <f>IFERROR(H143*'ANTP_2.1.b Veículos'!F$52,"")</f>
        <v/>
      </c>
      <c r="I223" s="516" t="str">
        <f>IFERROR(I143*'ANTP_2.1.b Veículos'!G$52,"")</f>
        <v/>
      </c>
      <c r="J223" s="517"/>
    </row>
    <row r="224" spans="1:10" x14ac:dyDescent="0.25">
      <c r="A224" s="1216"/>
      <c r="B224" s="1217"/>
      <c r="C224" s="1217"/>
      <c r="D224" s="1218"/>
      <c r="E224" s="480">
        <v>9</v>
      </c>
      <c r="F224" s="516">
        <f>IFERROR(F144*'ANTP_2.1.b Veículos'!D$52,"")</f>
        <v>0</v>
      </c>
      <c r="G224" s="516"/>
      <c r="H224" s="516"/>
      <c r="I224" s="516"/>
      <c r="J224" s="517"/>
    </row>
    <row r="225" spans="1:10" x14ac:dyDescent="0.25">
      <c r="A225" s="1225"/>
      <c r="B225" s="1226"/>
      <c r="C225" s="1226"/>
      <c r="D225" s="1227"/>
      <c r="E225" s="480">
        <v>10</v>
      </c>
      <c r="F225" s="516">
        <f>IFERROR(F145*'ANTP_2.1.b Veículos'!D$52,"")</f>
        <v>0</v>
      </c>
      <c r="G225" s="516"/>
      <c r="H225" s="516"/>
      <c r="I225" s="516"/>
      <c r="J225" s="517"/>
    </row>
    <row r="226" spans="1:10" x14ac:dyDescent="0.25">
      <c r="A226" s="1222" t="s">
        <v>14</v>
      </c>
      <c r="B226" s="1223"/>
      <c r="C226" s="1223"/>
      <c r="D226" s="1224"/>
      <c r="E226" s="480">
        <v>0</v>
      </c>
      <c r="F226" s="516">
        <f>IFERROR(F146*'ANTP_2.1.b Veículos'!D$53,"")</f>
        <v>0</v>
      </c>
      <c r="G226" s="516" t="str">
        <f>IFERROR(G146*'ANTP_2.1.b Veículos'!E$53,"")</f>
        <v/>
      </c>
      <c r="H226" s="516" t="str">
        <f>IFERROR(H146*'ANTP_2.1.b Veículos'!F$53,"")</f>
        <v/>
      </c>
      <c r="I226" s="516" t="str">
        <f>IFERROR(I146*'ANTP_2.1.b Veículos'!G$53,"")</f>
        <v/>
      </c>
      <c r="J226" s="517"/>
    </row>
    <row r="227" spans="1:10" x14ac:dyDescent="0.25">
      <c r="A227" s="1216"/>
      <c r="B227" s="1217"/>
      <c r="C227" s="1217"/>
      <c r="D227" s="1218"/>
      <c r="E227" s="480">
        <v>1</v>
      </c>
      <c r="F227" s="516">
        <f>IFERROR(F147*'ANTP_2.1.b Veículos'!D$53,"")</f>
        <v>0</v>
      </c>
      <c r="G227" s="516" t="str">
        <f>IFERROR(G147*'ANTP_2.1.b Veículos'!E$53,"")</f>
        <v/>
      </c>
      <c r="H227" s="516" t="str">
        <f>IFERROR(H147*'ANTP_2.1.b Veículos'!F$53,"")</f>
        <v/>
      </c>
      <c r="I227" s="516" t="str">
        <f>IFERROR(I147*'ANTP_2.1.b Veículos'!G$53,"")</f>
        <v/>
      </c>
      <c r="J227" s="517"/>
    </row>
    <row r="228" spans="1:10" x14ac:dyDescent="0.25">
      <c r="A228" s="1216"/>
      <c r="B228" s="1217"/>
      <c r="C228" s="1217"/>
      <c r="D228" s="1218"/>
      <c r="E228" s="480">
        <v>2</v>
      </c>
      <c r="F228" s="516">
        <f>IFERROR(F148*'ANTP_2.1.b Veículos'!D$53,"")</f>
        <v>0</v>
      </c>
      <c r="G228" s="516" t="str">
        <f>IFERROR(G148*'ANTP_2.1.b Veículos'!E$53,"")</f>
        <v/>
      </c>
      <c r="H228" s="516" t="str">
        <f>IFERROR(H148*'ANTP_2.1.b Veículos'!F$53,"")</f>
        <v/>
      </c>
      <c r="I228" s="516" t="str">
        <f>IFERROR(I148*'ANTP_2.1.b Veículos'!G$53,"")</f>
        <v/>
      </c>
      <c r="J228" s="517"/>
    </row>
    <row r="229" spans="1:10" x14ac:dyDescent="0.25">
      <c r="A229" s="1216"/>
      <c r="B229" s="1217"/>
      <c r="C229" s="1217"/>
      <c r="D229" s="1218"/>
      <c r="E229" s="480">
        <v>3</v>
      </c>
      <c r="F229" s="516">
        <f>IFERROR(F149*'ANTP_2.1.b Veículos'!D$53,"")</f>
        <v>0</v>
      </c>
      <c r="G229" s="516" t="str">
        <f>IFERROR(G149*'ANTP_2.1.b Veículos'!E$53,"")</f>
        <v/>
      </c>
      <c r="H229" s="516" t="str">
        <f>IFERROR(H149*'ANTP_2.1.b Veículos'!F$53,"")</f>
        <v/>
      </c>
      <c r="I229" s="516" t="str">
        <f>IFERROR(I149*'ANTP_2.1.b Veículos'!G$53,"")</f>
        <v/>
      </c>
      <c r="J229" s="517"/>
    </row>
    <row r="230" spans="1:10" x14ac:dyDescent="0.25">
      <c r="A230" s="1216"/>
      <c r="B230" s="1217"/>
      <c r="C230" s="1217"/>
      <c r="D230" s="1218"/>
      <c r="E230" s="480">
        <v>4</v>
      </c>
      <c r="F230" s="516">
        <f>IFERROR(F150*'ANTP_2.1.b Veículos'!D$53,"")</f>
        <v>0</v>
      </c>
      <c r="G230" s="516" t="str">
        <f>IFERROR(G150*'ANTP_2.1.b Veículos'!E$53,"")</f>
        <v/>
      </c>
      <c r="H230" s="516" t="str">
        <f>IFERROR(H150*'ANTP_2.1.b Veículos'!F$53,"")</f>
        <v/>
      </c>
      <c r="I230" s="516" t="str">
        <f>IFERROR(I150*'ANTP_2.1.b Veículos'!G$53,"")</f>
        <v/>
      </c>
      <c r="J230" s="517"/>
    </row>
    <row r="231" spans="1:10" x14ac:dyDescent="0.25">
      <c r="A231" s="1216"/>
      <c r="B231" s="1217"/>
      <c r="C231" s="1217"/>
      <c r="D231" s="1218"/>
      <c r="E231" s="480">
        <v>5</v>
      </c>
      <c r="F231" s="516">
        <f>IFERROR(F151*'ANTP_2.1.b Veículos'!D$53,"")</f>
        <v>19946.661818181816</v>
      </c>
      <c r="G231" s="516" t="str">
        <f>IFERROR(G151*'ANTP_2.1.b Veículos'!E$53,"")</f>
        <v/>
      </c>
      <c r="H231" s="516" t="str">
        <f>IFERROR(H151*'ANTP_2.1.b Veículos'!F$53,"")</f>
        <v/>
      </c>
      <c r="I231" s="516" t="str">
        <f>IFERROR(I151*'ANTP_2.1.b Veículos'!G$53,"")</f>
        <v/>
      </c>
      <c r="J231" s="517"/>
    </row>
    <row r="232" spans="1:10" x14ac:dyDescent="0.25">
      <c r="A232" s="1216"/>
      <c r="B232" s="1217"/>
      <c r="C232" s="1217"/>
      <c r="D232" s="1218"/>
      <c r="E232" s="480">
        <v>6</v>
      </c>
      <c r="F232" s="516">
        <f>IFERROR(F152*'ANTP_2.1.b Veículos'!D$53,"")</f>
        <v>0</v>
      </c>
      <c r="G232" s="516" t="str">
        <f>IFERROR(G152*'ANTP_2.1.b Veículos'!E$53,"")</f>
        <v/>
      </c>
      <c r="H232" s="516" t="str">
        <f>IFERROR(H152*'ANTP_2.1.b Veículos'!F$53,"")</f>
        <v/>
      </c>
      <c r="I232" s="516" t="str">
        <f>IFERROR(I152*'ANTP_2.1.b Veículos'!G$53,"")</f>
        <v/>
      </c>
      <c r="J232" s="517"/>
    </row>
    <row r="233" spans="1:10" x14ac:dyDescent="0.25">
      <c r="A233" s="1216"/>
      <c r="B233" s="1217"/>
      <c r="C233" s="1217"/>
      <c r="D233" s="1218"/>
      <c r="E233" s="480">
        <v>7</v>
      </c>
      <c r="F233" s="516">
        <f>IFERROR(F153*'ANTP_2.1.b Veículos'!D$53,"")</f>
        <v>8975.9978181818187</v>
      </c>
      <c r="G233" s="516" t="str">
        <f>IFERROR(G153*'ANTP_2.1.b Veículos'!E$53,"")</f>
        <v/>
      </c>
      <c r="H233" s="516" t="str">
        <f>IFERROR(H153*'ANTP_2.1.b Veículos'!F$53,"")</f>
        <v/>
      </c>
      <c r="I233" s="516" t="str">
        <f>IFERROR(I153*'ANTP_2.1.b Veículos'!G$53,"")</f>
        <v/>
      </c>
      <c r="J233" s="517"/>
    </row>
    <row r="234" spans="1:10" x14ac:dyDescent="0.25">
      <c r="A234" s="1216"/>
      <c r="B234" s="1217"/>
      <c r="C234" s="1217"/>
      <c r="D234" s="1218"/>
      <c r="E234" s="480">
        <v>8</v>
      </c>
      <c r="F234" s="516">
        <f>IFERROR(F154*'ANTP_2.1.b Veículos'!D$53,"")</f>
        <v>0</v>
      </c>
      <c r="G234" s="516" t="str">
        <f>IFERROR(G154*'ANTP_2.1.b Veículos'!E$53,"")</f>
        <v/>
      </c>
      <c r="H234" s="516" t="str">
        <f>IFERROR(H154*'ANTP_2.1.b Veículos'!F$53,"")</f>
        <v/>
      </c>
      <c r="I234" s="516" t="str">
        <f>IFERROR(I154*'ANTP_2.1.b Veículos'!G$53,"")</f>
        <v/>
      </c>
      <c r="J234" s="517"/>
    </row>
    <row r="235" spans="1:10" x14ac:dyDescent="0.25">
      <c r="A235" s="1216"/>
      <c r="B235" s="1217"/>
      <c r="C235" s="1217"/>
      <c r="D235" s="1218"/>
      <c r="E235" s="480">
        <v>9</v>
      </c>
      <c r="F235" s="516">
        <f>IFERROR(F155*'ANTP_2.1.b Veículos'!D$53,"")</f>
        <v>3989.3323636363639</v>
      </c>
      <c r="G235" s="516"/>
      <c r="H235" s="516"/>
      <c r="I235" s="516"/>
      <c r="J235" s="517"/>
    </row>
    <row r="236" spans="1:10" x14ac:dyDescent="0.25">
      <c r="A236" s="1225"/>
      <c r="B236" s="1226"/>
      <c r="C236" s="1226"/>
      <c r="D236" s="1227"/>
      <c r="E236" s="480">
        <v>10</v>
      </c>
      <c r="F236" s="516">
        <f>IFERROR(F156*'ANTP_2.1.b Veículos'!D$53,"")</f>
        <v>0</v>
      </c>
      <c r="G236" s="516"/>
      <c r="H236" s="516"/>
      <c r="I236" s="516"/>
      <c r="J236" s="517"/>
    </row>
    <row r="237" spans="1:10" x14ac:dyDescent="0.25">
      <c r="A237" s="1222" t="s">
        <v>15</v>
      </c>
      <c r="B237" s="1223"/>
      <c r="C237" s="1223"/>
      <c r="D237" s="1224"/>
      <c r="E237" s="480">
        <v>0</v>
      </c>
      <c r="F237" s="516" t="str">
        <f>IFERROR(F157*'ANTP_2.1.b Veículos'!D$54,"")</f>
        <v/>
      </c>
      <c r="G237" s="516" t="str">
        <f>IFERROR(G157*'ANTP_2.1.b Veículos'!E$54,"")</f>
        <v/>
      </c>
      <c r="H237" s="516" t="str">
        <f>IFERROR(H157*'ANTP_2.1.b Veículos'!F$54,"")</f>
        <v/>
      </c>
      <c r="I237" s="516" t="str">
        <f>IFERROR(I157*'ANTP_2.1.b Veículos'!G$54,"")</f>
        <v/>
      </c>
      <c r="J237" s="517"/>
    </row>
    <row r="238" spans="1:10" x14ac:dyDescent="0.25">
      <c r="A238" s="1216"/>
      <c r="B238" s="1217"/>
      <c r="C238" s="1217"/>
      <c r="D238" s="1218"/>
      <c r="E238" s="480">
        <v>1</v>
      </c>
      <c r="F238" s="516" t="str">
        <f>IFERROR(F158*'ANTP_2.1.b Veículos'!D$54,"")</f>
        <v/>
      </c>
      <c r="G238" s="516" t="str">
        <f>IFERROR(G158*'ANTP_2.1.b Veículos'!E$54,"")</f>
        <v/>
      </c>
      <c r="H238" s="516" t="str">
        <f>IFERROR(H158*'ANTP_2.1.b Veículos'!F$54,"")</f>
        <v/>
      </c>
      <c r="I238" s="516" t="str">
        <f>IFERROR(I158*'ANTP_2.1.b Veículos'!G$54,"")</f>
        <v/>
      </c>
      <c r="J238" s="517"/>
    </row>
    <row r="239" spans="1:10" x14ac:dyDescent="0.25">
      <c r="A239" s="1216"/>
      <c r="B239" s="1217"/>
      <c r="C239" s="1217"/>
      <c r="D239" s="1218"/>
      <c r="E239" s="480">
        <v>2</v>
      </c>
      <c r="F239" s="516" t="str">
        <f>IFERROR(F159*'ANTP_2.1.b Veículos'!D$54,"")</f>
        <v/>
      </c>
      <c r="G239" s="516" t="str">
        <f>IFERROR(G159*'ANTP_2.1.b Veículos'!E$54,"")</f>
        <v/>
      </c>
      <c r="H239" s="516" t="str">
        <f>IFERROR(H159*'ANTP_2.1.b Veículos'!F$54,"")</f>
        <v/>
      </c>
      <c r="I239" s="516" t="str">
        <f>IFERROR(I159*'ANTP_2.1.b Veículos'!G$54,"")</f>
        <v/>
      </c>
      <c r="J239" s="517"/>
    </row>
    <row r="240" spans="1:10" x14ac:dyDescent="0.25">
      <c r="A240" s="1216"/>
      <c r="B240" s="1217"/>
      <c r="C240" s="1217"/>
      <c r="D240" s="1218"/>
      <c r="E240" s="480">
        <v>3</v>
      </c>
      <c r="F240" s="516" t="str">
        <f>IFERROR(F160*'ANTP_2.1.b Veículos'!D$54,"")</f>
        <v/>
      </c>
      <c r="G240" s="516" t="str">
        <f>IFERROR(G160*'ANTP_2.1.b Veículos'!E$54,"")</f>
        <v/>
      </c>
      <c r="H240" s="516" t="str">
        <f>IFERROR(H160*'ANTP_2.1.b Veículos'!F$54,"")</f>
        <v/>
      </c>
      <c r="I240" s="516" t="str">
        <f>IFERROR(I160*'ANTP_2.1.b Veículos'!G$54,"")</f>
        <v/>
      </c>
      <c r="J240" s="517"/>
    </row>
    <row r="241" spans="1:10" x14ac:dyDescent="0.25">
      <c r="A241" s="1216"/>
      <c r="B241" s="1217"/>
      <c r="C241" s="1217"/>
      <c r="D241" s="1218"/>
      <c r="E241" s="480">
        <v>4</v>
      </c>
      <c r="F241" s="516" t="str">
        <f>IFERROR(F161*'ANTP_2.1.b Veículos'!D$54,"")</f>
        <v/>
      </c>
      <c r="G241" s="516" t="str">
        <f>IFERROR(G161*'ANTP_2.1.b Veículos'!E$54,"")</f>
        <v/>
      </c>
      <c r="H241" s="516" t="str">
        <f>IFERROR(H161*'ANTP_2.1.b Veículos'!F$54,"")</f>
        <v/>
      </c>
      <c r="I241" s="516" t="str">
        <f>IFERROR(I161*'ANTP_2.1.b Veículos'!G$54,"")</f>
        <v/>
      </c>
      <c r="J241" s="517"/>
    </row>
    <row r="242" spans="1:10" x14ac:dyDescent="0.25">
      <c r="A242" s="1216"/>
      <c r="B242" s="1217"/>
      <c r="C242" s="1217"/>
      <c r="D242" s="1218"/>
      <c r="E242" s="480">
        <v>5</v>
      </c>
      <c r="F242" s="516" t="str">
        <f>IFERROR(F162*'ANTP_2.1.b Veículos'!D$54,"")</f>
        <v/>
      </c>
      <c r="G242" s="516" t="str">
        <f>IFERROR(G162*'ANTP_2.1.b Veículos'!E$54,"")</f>
        <v/>
      </c>
      <c r="H242" s="516" t="str">
        <f>IFERROR(H162*'ANTP_2.1.b Veículos'!F$54,"")</f>
        <v/>
      </c>
      <c r="I242" s="516" t="str">
        <f>IFERROR(I162*'ANTP_2.1.b Veículos'!G$54,"")</f>
        <v/>
      </c>
      <c r="J242" s="517"/>
    </row>
    <row r="243" spans="1:10" x14ac:dyDescent="0.25">
      <c r="A243" s="1216"/>
      <c r="B243" s="1217"/>
      <c r="C243" s="1217"/>
      <c r="D243" s="1218"/>
      <c r="E243" s="480">
        <v>6</v>
      </c>
      <c r="F243" s="516" t="str">
        <f>IFERROR(F163*'ANTP_2.1.b Veículos'!D$54,"")</f>
        <v/>
      </c>
      <c r="G243" s="516" t="str">
        <f>IFERROR(G163*'ANTP_2.1.b Veículos'!E$54,"")</f>
        <v/>
      </c>
      <c r="H243" s="516" t="str">
        <f>IFERROR(H163*'ANTP_2.1.b Veículos'!F$54,"")</f>
        <v/>
      </c>
      <c r="I243" s="516" t="str">
        <f>IFERROR(I163*'ANTP_2.1.b Veículos'!G$54,"")</f>
        <v/>
      </c>
      <c r="J243" s="517"/>
    </row>
    <row r="244" spans="1:10" x14ac:dyDescent="0.25">
      <c r="A244" s="1216"/>
      <c r="B244" s="1217"/>
      <c r="C244" s="1217"/>
      <c r="D244" s="1218"/>
      <c r="E244" s="480">
        <v>7</v>
      </c>
      <c r="F244" s="516" t="str">
        <f>IFERROR(F164*'ANTP_2.1.b Veículos'!D$54,"")</f>
        <v/>
      </c>
      <c r="G244" s="516" t="str">
        <f>IFERROR(G164*'ANTP_2.1.b Veículos'!E$54,"")</f>
        <v/>
      </c>
      <c r="H244" s="516" t="str">
        <f>IFERROR(H164*'ANTP_2.1.b Veículos'!F$54,"")</f>
        <v/>
      </c>
      <c r="I244" s="516" t="str">
        <f>IFERROR(I164*'ANTP_2.1.b Veículos'!G$54,"")</f>
        <v/>
      </c>
      <c r="J244" s="517"/>
    </row>
    <row r="245" spans="1:10" x14ac:dyDescent="0.25">
      <c r="A245" s="1216"/>
      <c r="B245" s="1217"/>
      <c r="C245" s="1217"/>
      <c r="D245" s="1218"/>
      <c r="E245" s="480">
        <v>8</v>
      </c>
      <c r="F245" s="516" t="str">
        <f>IFERROR(F165*'ANTP_2.1.b Veículos'!D$54,"")</f>
        <v/>
      </c>
      <c r="G245" s="516" t="str">
        <f>IFERROR(G165*'ANTP_2.1.b Veículos'!E$54,"")</f>
        <v/>
      </c>
      <c r="H245" s="516" t="str">
        <f>IFERROR(H165*'ANTP_2.1.b Veículos'!F$54,"")</f>
        <v/>
      </c>
      <c r="I245" s="516" t="str">
        <f>IFERROR(I165*'ANTP_2.1.b Veículos'!G$54,"")</f>
        <v/>
      </c>
      <c r="J245" s="517"/>
    </row>
    <row r="246" spans="1:10" x14ac:dyDescent="0.25">
      <c r="A246" s="1216"/>
      <c r="B246" s="1217"/>
      <c r="C246" s="1217"/>
      <c r="D246" s="1218"/>
      <c r="E246" s="480">
        <v>9</v>
      </c>
      <c r="F246" s="516" t="str">
        <f>IFERROR(F166*'ANTP_2.1.b Veículos'!D$54,"")</f>
        <v/>
      </c>
      <c r="G246" s="516" t="str">
        <f>IFERROR(G166*'ANTP_2.1.b Veículos'!E$54,"")</f>
        <v/>
      </c>
      <c r="H246" s="516" t="str">
        <f>IFERROR(H166*'ANTP_2.1.b Veículos'!F$54,"")</f>
        <v/>
      </c>
      <c r="I246" s="516" t="str">
        <f>IFERROR(I166*'ANTP_2.1.b Veículos'!G$54,"")</f>
        <v/>
      </c>
      <c r="J246" s="517"/>
    </row>
    <row r="247" spans="1:10" x14ac:dyDescent="0.25">
      <c r="A247" s="1225"/>
      <c r="B247" s="1226"/>
      <c r="C247" s="1226"/>
      <c r="D247" s="1227"/>
      <c r="E247" s="480">
        <v>10</v>
      </c>
      <c r="F247" s="516" t="str">
        <f>IFERROR(F167*'ANTP_2.1.b Veículos'!D$54,"")</f>
        <v/>
      </c>
      <c r="G247" s="516" t="str">
        <f>IFERROR(G167*'ANTP_2.1.b Veículos'!E$54,"")</f>
        <v/>
      </c>
      <c r="H247" s="516" t="str">
        <f>IFERROR(H167*'ANTP_2.1.b Veículos'!F$54,"")</f>
        <v/>
      </c>
      <c r="I247" s="516" t="str">
        <f>IFERROR(I167*'ANTP_2.1.b Veículos'!G$54,"")</f>
        <v/>
      </c>
      <c r="J247" s="517"/>
    </row>
    <row r="248" spans="1:10" x14ac:dyDescent="0.25">
      <c r="A248" s="1258" t="s">
        <v>16</v>
      </c>
      <c r="B248" s="1258"/>
      <c r="C248" s="1258"/>
      <c r="D248" s="1258"/>
      <c r="E248" s="480">
        <v>0</v>
      </c>
      <c r="F248" s="516" t="str">
        <f>IFERROR(F168*'ANTP_2.1.b Veículos'!D$55,"")</f>
        <v/>
      </c>
      <c r="G248" s="516" t="str">
        <f>IFERROR(G168*'ANTP_2.1.b Veículos'!E$55,"")</f>
        <v/>
      </c>
      <c r="H248" s="516" t="str">
        <f>IFERROR(H168*'ANTP_2.1.b Veículos'!F$55,"")</f>
        <v/>
      </c>
      <c r="I248" s="516" t="str">
        <f>IFERROR(I168*'ANTP_2.1.b Veículos'!G$55,"")</f>
        <v/>
      </c>
      <c r="J248" s="517"/>
    </row>
    <row r="249" spans="1:10" x14ac:dyDescent="0.25">
      <c r="A249" s="1258"/>
      <c r="B249" s="1258"/>
      <c r="C249" s="1258"/>
      <c r="D249" s="1258"/>
      <c r="E249" s="480">
        <v>1</v>
      </c>
      <c r="F249" s="516" t="str">
        <f>IFERROR(F169*'ANTP_2.1.b Veículos'!D$55,"")</f>
        <v/>
      </c>
      <c r="G249" s="516" t="str">
        <f>IFERROR(G169*'ANTP_2.1.b Veículos'!E$55,"")</f>
        <v/>
      </c>
      <c r="H249" s="516" t="str">
        <f>IFERROR(H169*'ANTP_2.1.b Veículos'!F$55,"")</f>
        <v/>
      </c>
      <c r="I249" s="516" t="str">
        <f>IFERROR(I169*'ANTP_2.1.b Veículos'!G$55,"")</f>
        <v/>
      </c>
      <c r="J249" s="517"/>
    </row>
    <row r="250" spans="1:10" x14ac:dyDescent="0.25">
      <c r="A250" s="1258"/>
      <c r="B250" s="1258"/>
      <c r="C250" s="1258"/>
      <c r="D250" s="1258"/>
      <c r="E250" s="480">
        <v>2</v>
      </c>
      <c r="F250" s="516" t="str">
        <f>IFERROR(F170*'ANTP_2.1.b Veículos'!D$55,"")</f>
        <v/>
      </c>
      <c r="G250" s="516" t="str">
        <f>IFERROR(G170*'ANTP_2.1.b Veículos'!E$55,"")</f>
        <v/>
      </c>
      <c r="H250" s="516" t="str">
        <f>IFERROR(H170*'ANTP_2.1.b Veículos'!F$55,"")</f>
        <v/>
      </c>
      <c r="I250" s="516" t="str">
        <f>IFERROR(I170*'ANTP_2.1.b Veículos'!G$55,"")</f>
        <v/>
      </c>
      <c r="J250" s="517"/>
    </row>
    <row r="251" spans="1:10" x14ac:dyDescent="0.25">
      <c r="A251" s="1258"/>
      <c r="B251" s="1258"/>
      <c r="C251" s="1258"/>
      <c r="D251" s="1258"/>
      <c r="E251" s="480">
        <v>3</v>
      </c>
      <c r="F251" s="516" t="str">
        <f>IFERROR(F171*'ANTP_2.1.b Veículos'!D$55,"")</f>
        <v/>
      </c>
      <c r="G251" s="516" t="str">
        <f>IFERROR(G171*'ANTP_2.1.b Veículos'!E$55,"")</f>
        <v/>
      </c>
      <c r="H251" s="516" t="str">
        <f>IFERROR(H171*'ANTP_2.1.b Veículos'!F$55,"")</f>
        <v/>
      </c>
      <c r="I251" s="516" t="str">
        <f>IFERROR(I171*'ANTP_2.1.b Veículos'!G$55,"")</f>
        <v/>
      </c>
      <c r="J251" s="517"/>
    </row>
    <row r="252" spans="1:10" x14ac:dyDescent="0.25">
      <c r="A252" s="1258"/>
      <c r="B252" s="1258"/>
      <c r="C252" s="1258"/>
      <c r="D252" s="1258"/>
      <c r="E252" s="480">
        <v>4</v>
      </c>
      <c r="F252" s="516" t="str">
        <f>IFERROR(F172*'ANTP_2.1.b Veículos'!D$55,"")</f>
        <v/>
      </c>
      <c r="G252" s="516" t="str">
        <f>IFERROR(G172*'ANTP_2.1.b Veículos'!E$55,"")</f>
        <v/>
      </c>
      <c r="H252" s="516" t="str">
        <f>IFERROR(H172*'ANTP_2.1.b Veículos'!F$55,"")</f>
        <v/>
      </c>
      <c r="I252" s="516" t="str">
        <f>IFERROR(I172*'ANTP_2.1.b Veículos'!G$55,"")</f>
        <v/>
      </c>
      <c r="J252" s="517"/>
    </row>
    <row r="253" spans="1:10" x14ac:dyDescent="0.25">
      <c r="A253" s="1258"/>
      <c r="B253" s="1258"/>
      <c r="C253" s="1258"/>
      <c r="D253" s="1258"/>
      <c r="E253" s="480">
        <v>5</v>
      </c>
      <c r="F253" s="516" t="str">
        <f>IFERROR(F173*'ANTP_2.1.b Veículos'!D$55,"")</f>
        <v/>
      </c>
      <c r="G253" s="516" t="str">
        <f>IFERROR(G173*'ANTP_2.1.b Veículos'!E$55,"")</f>
        <v/>
      </c>
      <c r="H253" s="516" t="str">
        <f>IFERROR(H173*'ANTP_2.1.b Veículos'!F$55,"")</f>
        <v/>
      </c>
      <c r="I253" s="516" t="str">
        <f>IFERROR(I173*'ANTP_2.1.b Veículos'!G$55,"")</f>
        <v/>
      </c>
      <c r="J253" s="517"/>
    </row>
    <row r="254" spans="1:10" x14ac:dyDescent="0.25">
      <c r="A254" s="1258"/>
      <c r="B254" s="1258"/>
      <c r="C254" s="1258"/>
      <c r="D254" s="1258"/>
      <c r="E254" s="480">
        <v>6</v>
      </c>
      <c r="F254" s="516" t="str">
        <f>IFERROR(F174*'ANTP_2.1.b Veículos'!D$55,"")</f>
        <v/>
      </c>
      <c r="G254" s="516" t="str">
        <f>IFERROR(G174*'ANTP_2.1.b Veículos'!E$55,"")</f>
        <v/>
      </c>
      <c r="H254" s="516" t="str">
        <f>IFERROR(H174*'ANTP_2.1.b Veículos'!F$55,"")</f>
        <v/>
      </c>
      <c r="I254" s="516" t="str">
        <f>IFERROR(I174*'ANTP_2.1.b Veículos'!G$55,"")</f>
        <v/>
      </c>
      <c r="J254" s="517"/>
    </row>
    <row r="255" spans="1:10" x14ac:dyDescent="0.25">
      <c r="A255" s="1258"/>
      <c r="B255" s="1258"/>
      <c r="C255" s="1258"/>
      <c r="D255" s="1258"/>
      <c r="E255" s="480">
        <v>7</v>
      </c>
      <c r="F255" s="516" t="str">
        <f>IFERROR(F175*'ANTP_2.1.b Veículos'!D$55,"")</f>
        <v/>
      </c>
      <c r="G255" s="516" t="str">
        <f>IFERROR(G175*'ANTP_2.1.b Veículos'!E$55,"")</f>
        <v/>
      </c>
      <c r="H255" s="516" t="str">
        <f>IFERROR(H175*'ANTP_2.1.b Veículos'!F$55,"")</f>
        <v/>
      </c>
      <c r="I255" s="516" t="str">
        <f>IFERROR(I175*'ANTP_2.1.b Veículos'!G$55,"")</f>
        <v/>
      </c>
      <c r="J255" s="517"/>
    </row>
    <row r="256" spans="1:10" x14ac:dyDescent="0.25">
      <c r="A256" s="1258"/>
      <c r="B256" s="1258"/>
      <c r="C256" s="1258"/>
      <c r="D256" s="1258"/>
      <c r="E256" s="480">
        <v>8</v>
      </c>
      <c r="F256" s="516" t="str">
        <f>IFERROR(F176*'ANTP_2.1.b Veículos'!D$55,"")</f>
        <v/>
      </c>
      <c r="G256" s="516" t="str">
        <f>IFERROR(G176*'ANTP_2.1.b Veículos'!E$55,"")</f>
        <v/>
      </c>
      <c r="H256" s="516" t="str">
        <f>IFERROR(H176*'ANTP_2.1.b Veículos'!F$55,"")</f>
        <v/>
      </c>
      <c r="I256" s="516" t="str">
        <f>IFERROR(I176*'ANTP_2.1.b Veículos'!G$55,"")</f>
        <v/>
      </c>
      <c r="J256" s="517"/>
    </row>
    <row r="257" spans="1:10" x14ac:dyDescent="0.25">
      <c r="A257" s="1258"/>
      <c r="B257" s="1258"/>
      <c r="C257" s="1258"/>
      <c r="D257" s="1258"/>
      <c r="E257" s="480">
        <v>9</v>
      </c>
      <c r="F257" s="516" t="str">
        <f>IFERROR(F177*'ANTP_2.1.b Veículos'!D$55,"")</f>
        <v/>
      </c>
      <c r="G257" s="516" t="str">
        <f>IFERROR(G177*'ANTP_2.1.b Veículos'!E$55,"")</f>
        <v/>
      </c>
      <c r="H257" s="516" t="str">
        <f>IFERROR(H177*'ANTP_2.1.b Veículos'!F$55,"")</f>
        <v/>
      </c>
      <c r="I257" s="516" t="str">
        <f>IFERROR(I177*'ANTP_2.1.b Veículos'!G$55,"")</f>
        <v/>
      </c>
      <c r="J257" s="517"/>
    </row>
    <row r="258" spans="1:10" x14ac:dyDescent="0.25">
      <c r="A258" s="1258"/>
      <c r="B258" s="1258"/>
      <c r="C258" s="1258"/>
      <c r="D258" s="1258"/>
      <c r="E258" s="480">
        <v>10</v>
      </c>
      <c r="F258" s="516" t="str">
        <f>IFERROR(F178*'ANTP_2.1.b Veículos'!D$55,"")</f>
        <v/>
      </c>
      <c r="G258" s="516" t="str">
        <f>IFERROR(G178*'ANTP_2.1.b Veículos'!E$55,"")</f>
        <v/>
      </c>
      <c r="H258" s="516" t="str">
        <f>IFERROR(H178*'ANTP_2.1.b Veículos'!F$55,"")</f>
        <v/>
      </c>
      <c r="I258" s="516" t="str">
        <f>IFERROR(I178*'ANTP_2.1.b Veículos'!G$55,"")</f>
        <v/>
      </c>
      <c r="J258" s="517"/>
    </row>
    <row r="259" spans="1:10" x14ac:dyDescent="0.25">
      <c r="A259" s="1258"/>
      <c r="B259" s="1258"/>
      <c r="C259" s="1258"/>
      <c r="D259" s="1258"/>
      <c r="E259" s="480">
        <v>11</v>
      </c>
      <c r="F259" s="516" t="str">
        <f>IFERROR(F179*'ANTP_2.1.b Veículos'!D$55,"")</f>
        <v/>
      </c>
      <c r="G259" s="516" t="str">
        <f>IFERROR(G179*'ANTP_2.1.b Veículos'!E$55,"")</f>
        <v/>
      </c>
      <c r="H259" s="516" t="str">
        <f>IFERROR(H179*'ANTP_2.1.b Veículos'!F$55,"")</f>
        <v/>
      </c>
      <c r="I259" s="516" t="str">
        <f>IFERROR(I179*'ANTP_2.1.b Veículos'!G$55,"")</f>
        <v/>
      </c>
      <c r="J259" s="517"/>
    </row>
    <row r="260" spans="1:10" x14ac:dyDescent="0.25">
      <c r="A260" s="1258"/>
      <c r="B260" s="1258"/>
      <c r="C260" s="1258"/>
      <c r="D260" s="1258"/>
      <c r="E260" s="480">
        <v>12</v>
      </c>
      <c r="F260" s="516" t="str">
        <f>IFERROR(F180*'ANTP_2.1.b Veículos'!D$55,"")</f>
        <v/>
      </c>
      <c r="G260" s="516" t="str">
        <f>IFERROR(G180*'ANTP_2.1.b Veículos'!E$55,"")</f>
        <v/>
      </c>
      <c r="H260" s="516" t="str">
        <f>IFERROR(H180*'ANTP_2.1.b Veículos'!F$55,"")</f>
        <v/>
      </c>
      <c r="I260" s="516" t="str">
        <f>IFERROR(I180*'ANTP_2.1.b Veículos'!G$55,"")</f>
        <v/>
      </c>
      <c r="J260" s="517"/>
    </row>
    <row r="261" spans="1:10" x14ac:dyDescent="0.25">
      <c r="A261" s="1258" t="s">
        <v>17</v>
      </c>
      <c r="B261" s="1258"/>
      <c r="C261" s="1258"/>
      <c r="D261" s="1258"/>
      <c r="E261" s="480">
        <v>0</v>
      </c>
      <c r="F261" s="516" t="str">
        <f>IFERROR(F181*'ANTP_2.1.b Veículos'!D$56,"")</f>
        <v/>
      </c>
      <c r="G261" s="516" t="str">
        <f>IFERROR(G181*'ANTP_2.1.b Veículos'!E$56,"")</f>
        <v/>
      </c>
      <c r="H261" s="516" t="str">
        <f>IFERROR(H181*'ANTP_2.1.b Veículos'!F$56,"")</f>
        <v/>
      </c>
      <c r="I261" s="516" t="str">
        <f>IFERROR(I181*'ANTP_2.1.b Veículos'!G$56,"")</f>
        <v/>
      </c>
      <c r="J261" s="517"/>
    </row>
    <row r="262" spans="1:10" x14ac:dyDescent="0.25">
      <c r="A262" s="1258"/>
      <c r="B262" s="1258"/>
      <c r="C262" s="1258"/>
      <c r="D262" s="1258"/>
      <c r="E262" s="480">
        <v>1</v>
      </c>
      <c r="F262" s="516" t="str">
        <f>IFERROR(F182*'ANTP_2.1.b Veículos'!D$56,"")</f>
        <v/>
      </c>
      <c r="G262" s="516" t="str">
        <f>IFERROR(G182*'ANTP_2.1.b Veículos'!E$56,"")</f>
        <v/>
      </c>
      <c r="H262" s="516" t="str">
        <f>IFERROR(H182*'ANTP_2.1.b Veículos'!F$56,"")</f>
        <v/>
      </c>
      <c r="I262" s="516" t="str">
        <f>IFERROR(I182*'ANTP_2.1.b Veículos'!G$56,"")</f>
        <v/>
      </c>
      <c r="J262" s="517"/>
    </row>
    <row r="263" spans="1:10" x14ac:dyDescent="0.25">
      <c r="A263" s="1258"/>
      <c r="B263" s="1258"/>
      <c r="C263" s="1258"/>
      <c r="D263" s="1258"/>
      <c r="E263" s="480">
        <v>2</v>
      </c>
      <c r="F263" s="516" t="str">
        <f>IFERROR(F183*'ANTP_2.1.b Veículos'!D$56,"")</f>
        <v/>
      </c>
      <c r="G263" s="516" t="str">
        <f>IFERROR(G183*'ANTP_2.1.b Veículos'!E$56,"")</f>
        <v/>
      </c>
      <c r="H263" s="516" t="str">
        <f>IFERROR(H183*'ANTP_2.1.b Veículos'!F$56,"")</f>
        <v/>
      </c>
      <c r="I263" s="516" t="str">
        <f>IFERROR(I183*'ANTP_2.1.b Veículos'!G$56,"")</f>
        <v/>
      </c>
      <c r="J263" s="517"/>
    </row>
    <row r="264" spans="1:10" x14ac:dyDescent="0.25">
      <c r="A264" s="1258"/>
      <c r="B264" s="1258"/>
      <c r="C264" s="1258"/>
      <c r="D264" s="1258"/>
      <c r="E264" s="480">
        <v>3</v>
      </c>
      <c r="F264" s="516" t="str">
        <f>IFERROR(F184*'ANTP_2.1.b Veículos'!D$56,"")</f>
        <v/>
      </c>
      <c r="G264" s="516" t="str">
        <f>IFERROR(G184*'ANTP_2.1.b Veículos'!E$56,"")</f>
        <v/>
      </c>
      <c r="H264" s="516" t="str">
        <f>IFERROR(H184*'ANTP_2.1.b Veículos'!F$56,"")</f>
        <v/>
      </c>
      <c r="I264" s="516" t="str">
        <f>IFERROR(I184*'ANTP_2.1.b Veículos'!G$56,"")</f>
        <v/>
      </c>
      <c r="J264" s="517"/>
    </row>
    <row r="265" spans="1:10" x14ac:dyDescent="0.25">
      <c r="A265" s="1258"/>
      <c r="B265" s="1258"/>
      <c r="C265" s="1258"/>
      <c r="D265" s="1258"/>
      <c r="E265" s="480">
        <v>4</v>
      </c>
      <c r="F265" s="516" t="str">
        <f>IFERROR(F185*'ANTP_2.1.b Veículos'!D$56,"")</f>
        <v/>
      </c>
      <c r="G265" s="516" t="str">
        <f>IFERROR(G185*'ANTP_2.1.b Veículos'!E$56,"")</f>
        <v/>
      </c>
      <c r="H265" s="516" t="str">
        <f>IFERROR(H185*'ANTP_2.1.b Veículos'!F$56,"")</f>
        <v/>
      </c>
      <c r="I265" s="516" t="str">
        <f>IFERROR(I185*'ANTP_2.1.b Veículos'!G$56,"")</f>
        <v/>
      </c>
      <c r="J265" s="517"/>
    </row>
    <row r="266" spans="1:10" x14ac:dyDescent="0.25">
      <c r="A266" s="1258"/>
      <c r="B266" s="1258"/>
      <c r="C266" s="1258"/>
      <c r="D266" s="1258"/>
      <c r="E266" s="480">
        <v>5</v>
      </c>
      <c r="F266" s="516" t="str">
        <f>IFERROR(F186*'ANTP_2.1.b Veículos'!D$56,"")</f>
        <v/>
      </c>
      <c r="G266" s="516" t="str">
        <f>IFERROR(G186*'ANTP_2.1.b Veículos'!E$56,"")</f>
        <v/>
      </c>
      <c r="H266" s="516" t="str">
        <f>IFERROR(H186*'ANTP_2.1.b Veículos'!F$56,"")</f>
        <v/>
      </c>
      <c r="I266" s="516" t="str">
        <f>IFERROR(I186*'ANTP_2.1.b Veículos'!G$56,"")</f>
        <v/>
      </c>
      <c r="J266" s="517"/>
    </row>
    <row r="267" spans="1:10" x14ac:dyDescent="0.25">
      <c r="A267" s="1258"/>
      <c r="B267" s="1258"/>
      <c r="C267" s="1258"/>
      <c r="D267" s="1258"/>
      <c r="E267" s="480">
        <v>6</v>
      </c>
      <c r="F267" s="516" t="str">
        <f>IFERROR(F187*'ANTP_2.1.b Veículos'!D$56,"")</f>
        <v/>
      </c>
      <c r="G267" s="516" t="str">
        <f>IFERROR(G187*'ANTP_2.1.b Veículos'!E$56,"")</f>
        <v/>
      </c>
      <c r="H267" s="516" t="str">
        <f>IFERROR(H187*'ANTP_2.1.b Veículos'!F$56,"")</f>
        <v/>
      </c>
      <c r="I267" s="516" t="str">
        <f>IFERROR(I187*'ANTP_2.1.b Veículos'!G$56,"")</f>
        <v/>
      </c>
      <c r="J267" s="517"/>
    </row>
    <row r="268" spans="1:10" x14ac:dyDescent="0.25">
      <c r="A268" s="1258"/>
      <c r="B268" s="1258"/>
      <c r="C268" s="1258"/>
      <c r="D268" s="1258"/>
      <c r="E268" s="480">
        <v>7</v>
      </c>
      <c r="F268" s="516" t="str">
        <f>IFERROR(F188*'ANTP_2.1.b Veículos'!D$56,"")</f>
        <v/>
      </c>
      <c r="G268" s="516" t="str">
        <f>IFERROR(G188*'ANTP_2.1.b Veículos'!E$56,"")</f>
        <v/>
      </c>
      <c r="H268" s="516" t="str">
        <f>IFERROR(H188*'ANTP_2.1.b Veículos'!F$56,"")</f>
        <v/>
      </c>
      <c r="I268" s="516" t="str">
        <f>IFERROR(I188*'ANTP_2.1.b Veículos'!G$56,"")</f>
        <v/>
      </c>
      <c r="J268" s="517"/>
    </row>
    <row r="269" spans="1:10" x14ac:dyDescent="0.25">
      <c r="A269" s="1258"/>
      <c r="B269" s="1258"/>
      <c r="C269" s="1258"/>
      <c r="D269" s="1258"/>
      <c r="E269" s="480">
        <v>8</v>
      </c>
      <c r="F269" s="516" t="str">
        <f>IFERROR(F189*'ANTP_2.1.b Veículos'!D$56,"")</f>
        <v/>
      </c>
      <c r="G269" s="516" t="str">
        <f>IFERROR(G189*'ANTP_2.1.b Veículos'!E$56,"")</f>
        <v/>
      </c>
      <c r="H269" s="516" t="str">
        <f>IFERROR(H189*'ANTP_2.1.b Veículos'!F$56,"")</f>
        <v/>
      </c>
      <c r="I269" s="516" t="str">
        <f>IFERROR(I189*'ANTP_2.1.b Veículos'!G$56,"")</f>
        <v/>
      </c>
      <c r="J269" s="517"/>
    </row>
    <row r="270" spans="1:10" x14ac:dyDescent="0.25">
      <c r="A270" s="1258"/>
      <c r="B270" s="1258"/>
      <c r="C270" s="1258"/>
      <c r="D270" s="1258"/>
      <c r="E270" s="480">
        <v>9</v>
      </c>
      <c r="F270" s="516" t="str">
        <f>IFERROR(F190*'ANTP_2.1.b Veículos'!D$56,"")</f>
        <v/>
      </c>
      <c r="G270" s="516" t="str">
        <f>IFERROR(G190*'ANTP_2.1.b Veículos'!E$56,"")</f>
        <v/>
      </c>
      <c r="H270" s="516" t="str">
        <f>IFERROR(H190*'ANTP_2.1.b Veículos'!F$56,"")</f>
        <v/>
      </c>
      <c r="I270" s="516" t="str">
        <f>IFERROR(I190*'ANTP_2.1.b Veículos'!G$56,"")</f>
        <v/>
      </c>
      <c r="J270" s="517"/>
    </row>
    <row r="271" spans="1:10" x14ac:dyDescent="0.25">
      <c r="A271" s="1258"/>
      <c r="B271" s="1258"/>
      <c r="C271" s="1258"/>
      <c r="D271" s="1258"/>
      <c r="E271" s="480">
        <v>10</v>
      </c>
      <c r="F271" s="516" t="str">
        <f>IFERROR(F191*'ANTP_2.1.b Veículos'!D$56,"")</f>
        <v/>
      </c>
      <c r="G271" s="516" t="str">
        <f>IFERROR(G191*'ANTP_2.1.b Veículos'!E$56,"")</f>
        <v/>
      </c>
      <c r="H271" s="516" t="str">
        <f>IFERROR(H191*'ANTP_2.1.b Veículos'!F$56,"")</f>
        <v/>
      </c>
      <c r="I271" s="516" t="str">
        <f>IFERROR(I191*'ANTP_2.1.b Veículos'!G$56,"")</f>
        <v/>
      </c>
      <c r="J271" s="517"/>
    </row>
    <row r="272" spans="1:10" x14ac:dyDescent="0.25">
      <c r="A272" s="1258"/>
      <c r="B272" s="1258"/>
      <c r="C272" s="1258"/>
      <c r="D272" s="1258"/>
      <c r="E272" s="480">
        <v>11</v>
      </c>
      <c r="F272" s="516" t="str">
        <f>IFERROR(F192*'ANTP_2.1.b Veículos'!D$56,"")</f>
        <v/>
      </c>
      <c r="G272" s="516" t="str">
        <f>IFERROR(G192*'ANTP_2.1.b Veículos'!E$56,"")</f>
        <v/>
      </c>
      <c r="H272" s="516" t="str">
        <f>IFERROR(H192*'ANTP_2.1.b Veículos'!F$56,"")</f>
        <v/>
      </c>
      <c r="I272" s="516" t="str">
        <f>IFERROR(I192*'ANTP_2.1.b Veículos'!G$56,"")</f>
        <v/>
      </c>
      <c r="J272" s="517"/>
    </row>
    <row r="273" spans="1:10" x14ac:dyDescent="0.25">
      <c r="A273" s="1258"/>
      <c r="B273" s="1258"/>
      <c r="C273" s="1258"/>
      <c r="D273" s="1258"/>
      <c r="E273" s="480">
        <v>12</v>
      </c>
      <c r="F273" s="516" t="str">
        <f>IFERROR(F193*'ANTP_2.1.b Veículos'!D$56,"")</f>
        <v/>
      </c>
      <c r="G273" s="516" t="str">
        <f>IFERROR(G193*'ANTP_2.1.b Veículos'!E$56,"")</f>
        <v/>
      </c>
      <c r="H273" s="516" t="str">
        <f>IFERROR(H193*'ANTP_2.1.b Veículos'!F$56,"")</f>
        <v/>
      </c>
      <c r="I273" s="516" t="str">
        <f>IFERROR(I193*'ANTP_2.1.b Veículos'!G$56,"")</f>
        <v/>
      </c>
      <c r="J273" s="517"/>
    </row>
    <row r="274" spans="1:10" x14ac:dyDescent="0.25">
      <c r="A274" s="517"/>
      <c r="B274" s="517"/>
      <c r="C274" s="517"/>
      <c r="D274" s="517"/>
      <c r="E274" s="517"/>
      <c r="F274" s="517"/>
      <c r="G274" s="517"/>
      <c r="H274" s="517"/>
      <c r="I274" s="517"/>
      <c r="J274" s="517"/>
    </row>
    <row r="275" spans="1:10" x14ac:dyDescent="0.25">
      <c r="A275" s="517"/>
      <c r="B275" s="517"/>
      <c r="C275" s="517"/>
      <c r="D275" s="517"/>
      <c r="E275" s="517"/>
      <c r="F275" s="517"/>
      <c r="G275" s="517"/>
      <c r="H275" s="517"/>
      <c r="I275" s="517"/>
      <c r="J275" s="517"/>
    </row>
    <row r="276" spans="1:10" ht="15.75" thickBot="1" x14ac:dyDescent="0.3">
      <c r="A276" s="61" t="s">
        <v>680</v>
      </c>
      <c r="B276" s="61" t="s">
        <v>128</v>
      </c>
    </row>
    <row r="277" spans="1:10" ht="21.75" thickBot="1" x14ac:dyDescent="0.3">
      <c r="A277" s="1283" t="s">
        <v>127</v>
      </c>
      <c r="B277" s="1283"/>
      <c r="C277" s="1283"/>
      <c r="D277" s="1283"/>
      <c r="E277" s="1283"/>
      <c r="F277" s="1284"/>
      <c r="G277" s="518">
        <f>SUM(F198:I273)</f>
        <v>32911.991999999998</v>
      </c>
    </row>
  </sheetData>
  <sheetProtection algorithmName="SHA-512" hashValue="u2Zb8zHEuMZPToz0Btt4Vt8NZPMqITWYVcfbBnBQi0KUhMSXx1d9lZq1OllpHfxjagQJ/1kL8hKMn+WGiy9EtA==" saltValue="63BZLkdKC+Mj7cHmylk5UA==" spinCount="100000" sheet="1" objects="1" scenarios="1"/>
  <mergeCells count="55">
    <mergeCell ref="A277:F277"/>
    <mergeCell ref="A237:D247"/>
    <mergeCell ref="A261:D273"/>
    <mergeCell ref="A248:D260"/>
    <mergeCell ref="E196:E197"/>
    <mergeCell ref="A204:D214"/>
    <mergeCell ref="E36:E37"/>
    <mergeCell ref="F36:G36"/>
    <mergeCell ref="A101:D113"/>
    <mergeCell ref="G19:G20"/>
    <mergeCell ref="H36:I36"/>
    <mergeCell ref="A36:D37"/>
    <mergeCell ref="E19:E20"/>
    <mergeCell ref="F19:F20"/>
    <mergeCell ref="A55:D65"/>
    <mergeCell ref="A38:D43"/>
    <mergeCell ref="A66:D76"/>
    <mergeCell ref="A44:D54"/>
    <mergeCell ref="J196:J197"/>
    <mergeCell ref="A88:D100"/>
    <mergeCell ref="H116:I116"/>
    <mergeCell ref="F116:G116"/>
    <mergeCell ref="A77:D87"/>
    <mergeCell ref="A116:D117"/>
    <mergeCell ref="A168:D180"/>
    <mergeCell ref="A181:D193"/>
    <mergeCell ref="H196:I196"/>
    <mergeCell ref="A196:D197"/>
    <mergeCell ref="E116:E117"/>
    <mergeCell ref="A157:D167"/>
    <mergeCell ref="J116:J117"/>
    <mergeCell ref="F196:G196"/>
    <mergeCell ref="F8:F9"/>
    <mergeCell ref="A10:D10"/>
    <mergeCell ref="A11:D11"/>
    <mergeCell ref="A8:D9"/>
    <mergeCell ref="E8:E9"/>
    <mergeCell ref="E11:E13"/>
    <mergeCell ref="F11:F13"/>
    <mergeCell ref="A12:D12"/>
    <mergeCell ref="A13:D13"/>
    <mergeCell ref="E15:E16"/>
    <mergeCell ref="F15:F16"/>
    <mergeCell ref="A19:C20"/>
    <mergeCell ref="D19:D20"/>
    <mergeCell ref="A16:D16"/>
    <mergeCell ref="A15:D15"/>
    <mergeCell ref="A14:D14"/>
    <mergeCell ref="A135:D145"/>
    <mergeCell ref="A146:D156"/>
    <mergeCell ref="A226:D236"/>
    <mergeCell ref="A215:D225"/>
    <mergeCell ref="A118:D123"/>
    <mergeCell ref="A198:D203"/>
    <mergeCell ref="A124:D134"/>
  </mergeCells>
  <pageMargins left="0.78740157499999996" right="0.78740157499999996" top="0.984251969" bottom="0.984251969" header="0.49212598499999999" footer="0.49212598499999999"/>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39997558519241921"/>
  </sheetPr>
  <dimension ref="A1:R37"/>
  <sheetViews>
    <sheetView workbookViewId="0"/>
  </sheetViews>
  <sheetFormatPr defaultColWidth="11.42578125" defaultRowHeight="15" x14ac:dyDescent="0.25"/>
  <cols>
    <col min="1" max="1" width="7" style="60" customWidth="1"/>
    <col min="2" max="2" width="2.7109375" style="60" customWidth="1"/>
    <col min="3" max="3" width="3.5703125" style="60" bestFit="1" customWidth="1"/>
    <col min="4" max="4" width="14.5703125" style="60" customWidth="1"/>
    <col min="5" max="5" width="16.28515625" style="60" bestFit="1" customWidth="1"/>
    <col min="6" max="6" width="18.85546875" style="60" bestFit="1" customWidth="1"/>
    <col min="7" max="7" width="4.140625" style="60" bestFit="1" customWidth="1"/>
    <col min="8" max="8" width="6.5703125" style="60" bestFit="1" customWidth="1"/>
    <col min="9" max="9" width="10.5703125" style="60" customWidth="1"/>
    <col min="10" max="10" width="15.7109375" style="60" bestFit="1" customWidth="1"/>
    <col min="11" max="11" width="38.7109375" style="60" customWidth="1"/>
    <col min="12" max="12" width="1.42578125" style="60" customWidth="1"/>
    <col min="13" max="17" width="11.42578125" style="60" customWidth="1"/>
    <col min="18" max="18" width="13.85546875" style="60" bestFit="1" customWidth="1"/>
    <col min="19" max="16384" width="11.42578125" style="60"/>
  </cols>
  <sheetData>
    <row r="1" spans="1:18" x14ac:dyDescent="0.25">
      <c r="B1" s="560" t="s">
        <v>1182</v>
      </c>
    </row>
    <row r="3" spans="1:18" x14ac:dyDescent="0.25">
      <c r="A3" s="12" t="s">
        <v>664</v>
      </c>
    </row>
    <row r="5" spans="1:18" x14ac:dyDescent="0.25">
      <c r="A5" s="61" t="s">
        <v>681</v>
      </c>
    </row>
    <row r="6" spans="1:18" x14ac:dyDescent="0.25">
      <c r="A6" s="61"/>
    </row>
    <row r="7" spans="1:18" x14ac:dyDescent="0.25">
      <c r="A7" s="14" t="s">
        <v>682</v>
      </c>
      <c r="B7" s="61" t="s">
        <v>131</v>
      </c>
    </row>
    <row r="8" spans="1:18" x14ac:dyDescent="0.25">
      <c r="A8" s="14"/>
      <c r="B8" s="61"/>
    </row>
    <row r="9" spans="1:18" ht="15.75" customHeight="1" x14ac:dyDescent="0.25">
      <c r="A9" s="14"/>
      <c r="B9" s="61"/>
      <c r="E9" s="493" t="s">
        <v>117</v>
      </c>
      <c r="F9" s="493" t="s">
        <v>118</v>
      </c>
    </row>
    <row r="10" spans="1:18" ht="15.75" customHeight="1" x14ac:dyDescent="0.25">
      <c r="A10" s="1289" t="s">
        <v>138</v>
      </c>
      <c r="B10" s="1289"/>
      <c r="C10" s="1289"/>
      <c r="D10" s="1289"/>
      <c r="E10" s="320">
        <v>25</v>
      </c>
      <c r="F10" s="320">
        <v>10</v>
      </c>
    </row>
    <row r="11" spans="1:18" ht="15.75" customHeight="1" x14ac:dyDescent="0.25">
      <c r="A11" s="1290" t="s">
        <v>132</v>
      </c>
      <c r="B11" s="1291"/>
      <c r="C11" s="1291"/>
      <c r="D11" s="1292"/>
      <c r="E11" s="320">
        <v>10</v>
      </c>
      <c r="F11" s="320">
        <v>0</v>
      </c>
    </row>
    <row r="12" spans="1:18" ht="15" customHeight="1" x14ac:dyDescent="0.25">
      <c r="A12" s="61"/>
      <c r="B12" s="61"/>
      <c r="C12" s="61"/>
      <c r="D12" s="61"/>
    </row>
    <row r="13" spans="1:18" x14ac:dyDescent="0.25">
      <c r="A13" s="14" t="s">
        <v>683</v>
      </c>
      <c r="B13" s="61" t="s">
        <v>736</v>
      </c>
    </row>
    <row r="14" spans="1:18" x14ac:dyDescent="0.25">
      <c r="A14" s="14"/>
      <c r="B14" s="61"/>
    </row>
    <row r="15" spans="1:18" ht="15.75" x14ac:dyDescent="0.25">
      <c r="B15" s="1287" t="s">
        <v>133</v>
      </c>
      <c r="C15" s="1288"/>
      <c r="D15" s="494">
        <f>IF('ANTP_2.1.c Insumos'!F68="","Preencher CIE em Dados de Insumo",'ANTP_2.1.c Insumos'!F68*(IF('ANTP_2.1.c Insumos'!F70="",(1-'Ref_A.IX.b. Deprec garag equip'!F10/100),(1-'ANTP_2.1.c Insumos'!F70/100)))/(('ANTP_2.1.b Veículos'!D60*SUM('ANTP_1.3 Frota Total'!C21:F27))))</f>
        <v>2.8885480844505335E-2</v>
      </c>
      <c r="E15" s="263"/>
      <c r="G15" s="493" t="s">
        <v>133</v>
      </c>
      <c r="H15" s="495">
        <f>8.16/100</f>
        <v>8.1600000000000006E-2</v>
      </c>
      <c r="I15" s="71"/>
      <c r="R15" s="496"/>
    </row>
    <row r="17" spans="1:18" x14ac:dyDescent="0.25">
      <c r="A17" s="14" t="s">
        <v>684</v>
      </c>
      <c r="B17" s="61" t="s">
        <v>737</v>
      </c>
    </row>
    <row r="18" spans="1:18" x14ac:dyDescent="0.25">
      <c r="A18" s="14"/>
      <c r="B18" s="61"/>
    </row>
    <row r="19" spans="1:18" ht="15.75" x14ac:dyDescent="0.25">
      <c r="B19" s="1070" t="s">
        <v>134</v>
      </c>
      <c r="C19" s="1070"/>
      <c r="D19" s="494">
        <f>IF('ANTP_2.1.c Insumos'!F71="","Preencher CIG em Dados de Insumo",'ANTP_2.1.c Insumos'!F71*(IF('ANTP_2.1.c Insumos'!F73="",(1-'Ref_A.IX.b. Deprec garag equip'!F11/100),(1-'ANTP_2.1.c Insumos'!F73/100)))/(('ANTP_2.1.b Veículos'!D60*SUM('ANTP_1.3 Frota Total'!C21:F27))))</f>
        <v>1.0940161708582053E-2</v>
      </c>
      <c r="E19" s="263"/>
      <c r="G19" s="493" t="s">
        <v>134</v>
      </c>
      <c r="H19" s="495">
        <f>2.74/100</f>
        <v>2.7400000000000001E-2</v>
      </c>
      <c r="I19" s="71"/>
    </row>
    <row r="21" spans="1:18" x14ac:dyDescent="0.25">
      <c r="A21" s="61" t="s">
        <v>685</v>
      </c>
      <c r="B21" s="61" t="s">
        <v>686</v>
      </c>
    </row>
    <row r="22" spans="1:18" x14ac:dyDescent="0.25">
      <c r="A22" s="61"/>
      <c r="B22" s="61"/>
    </row>
    <row r="23" spans="1:18" ht="31.5" x14ac:dyDescent="0.25">
      <c r="A23" s="1289" t="s">
        <v>136</v>
      </c>
      <c r="B23" s="1289"/>
      <c r="C23" s="1289"/>
      <c r="D23" s="1289"/>
      <c r="E23" s="493" t="s">
        <v>117</v>
      </c>
      <c r="F23" s="493" t="s">
        <v>118</v>
      </c>
    </row>
    <row r="24" spans="1:18" ht="16.5" customHeight="1" x14ac:dyDescent="0.25">
      <c r="A24" s="1289"/>
      <c r="B24" s="1289"/>
      <c r="C24" s="1289"/>
      <c r="D24" s="1289"/>
      <c r="E24" s="320">
        <v>5</v>
      </c>
      <c r="F24" s="320">
        <v>0</v>
      </c>
      <c r="H24" s="413"/>
    </row>
    <row r="25" spans="1:18" ht="16.5" customHeight="1" x14ac:dyDescent="0.25">
      <c r="A25" s="3"/>
      <c r="B25" s="3"/>
      <c r="C25" s="3"/>
      <c r="D25" s="3"/>
      <c r="E25" s="3"/>
      <c r="F25" s="3"/>
      <c r="H25" s="413"/>
    </row>
    <row r="26" spans="1:18" s="3" customFormat="1" ht="16.5" customHeight="1" x14ac:dyDescent="0.25">
      <c r="A26" s="61" t="s">
        <v>687</v>
      </c>
      <c r="B26" s="61" t="s">
        <v>738</v>
      </c>
      <c r="C26" s="60"/>
      <c r="D26" s="60"/>
      <c r="E26" s="60"/>
      <c r="F26" s="60"/>
    </row>
    <row r="27" spans="1:18" s="3" customFormat="1" ht="16.5" customHeight="1" x14ac:dyDescent="0.25">
      <c r="A27" s="61"/>
      <c r="B27" s="61"/>
      <c r="C27" s="60"/>
      <c r="D27" s="60"/>
      <c r="E27" s="60"/>
      <c r="F27" s="60"/>
    </row>
    <row r="28" spans="1:18" ht="15.75" x14ac:dyDescent="0.25">
      <c r="B28" s="1070" t="s">
        <v>135</v>
      </c>
      <c r="C28" s="1070"/>
      <c r="D28" s="494">
        <f>IF('ANTP_2.1.c Insumos'!F74="","Preencher CEB em Dados de Insumo",'ANTP_2.1.c Insumos'!F74*(IF('ANTP_2.1.c Insumos'!F76="",(1-'Ref_A.IX.b. Deprec garag equip'!F24/100),(1-'ANTP_2.1.c Insumos'!F76/100)))/(('ANTP_2.1.b Veículos'!D60*SUM('ANTP_1.3 Frota Total'!C21:F27))))</f>
        <v>3.983799784714747E-2</v>
      </c>
      <c r="G28" s="493" t="s">
        <v>135</v>
      </c>
      <c r="H28" s="495">
        <v>0.04</v>
      </c>
      <c r="I28" s="71"/>
      <c r="R28" s="496"/>
    </row>
    <row r="30" spans="1:18" x14ac:dyDescent="0.25">
      <c r="A30" s="61" t="s">
        <v>688</v>
      </c>
      <c r="B30" s="61" t="s">
        <v>384</v>
      </c>
      <c r="R30" s="496"/>
    </row>
    <row r="31" spans="1:18" x14ac:dyDescent="0.25">
      <c r="A31" s="61"/>
      <c r="B31" s="61"/>
    </row>
    <row r="32" spans="1:18" ht="15.75" customHeight="1" x14ac:dyDescent="0.25">
      <c r="A32" s="1293" t="s">
        <v>137</v>
      </c>
      <c r="B32" s="1294"/>
      <c r="C32" s="1294"/>
      <c r="D32" s="1295"/>
      <c r="E32" s="493" t="s">
        <v>117</v>
      </c>
      <c r="F32" s="493" t="s">
        <v>385</v>
      </c>
    </row>
    <row r="33" spans="1:6" x14ac:dyDescent="0.25">
      <c r="A33" s="1204" t="s">
        <v>378</v>
      </c>
      <c r="B33" s="1204"/>
      <c r="C33" s="1204"/>
      <c r="D33" s="1204"/>
      <c r="E33" s="497">
        <v>15</v>
      </c>
      <c r="F33" s="498">
        <v>0.1</v>
      </c>
    </row>
    <row r="34" spans="1:6" x14ac:dyDescent="0.25">
      <c r="A34" s="1204" t="s">
        <v>379</v>
      </c>
      <c r="B34" s="1204"/>
      <c r="C34" s="1204"/>
      <c r="D34" s="1204"/>
      <c r="E34" s="497">
        <v>15</v>
      </c>
      <c r="F34" s="498">
        <v>0.1</v>
      </c>
    </row>
    <row r="35" spans="1:6" x14ac:dyDescent="0.25">
      <c r="A35" s="1204" t="s">
        <v>380</v>
      </c>
      <c r="B35" s="1204"/>
      <c r="C35" s="1204"/>
      <c r="D35" s="1204"/>
      <c r="E35" s="497">
        <v>8</v>
      </c>
      <c r="F35" s="498">
        <v>0.15</v>
      </c>
    </row>
    <row r="36" spans="1:6" x14ac:dyDescent="0.25">
      <c r="A36" s="1204" t="s">
        <v>381</v>
      </c>
      <c r="B36" s="1204"/>
      <c r="C36" s="1204"/>
      <c r="D36" s="1204"/>
      <c r="E36" s="497">
        <v>5</v>
      </c>
      <c r="F36" s="498">
        <v>0.2</v>
      </c>
    </row>
    <row r="37" spans="1:6" x14ac:dyDescent="0.25">
      <c r="A37" s="1204" t="s">
        <v>382</v>
      </c>
      <c r="B37" s="1204"/>
      <c r="C37" s="1204"/>
      <c r="D37" s="1204"/>
      <c r="E37" s="497">
        <v>5</v>
      </c>
      <c r="F37" s="498">
        <v>0.2</v>
      </c>
    </row>
  </sheetData>
  <sheetProtection algorithmName="SHA-512" hashValue="2AnmGq5CVTiTpWwjLPkewQqRuvrRo1UuD6baPtgCcNq4P9t179IHBRnpv0NgeQymKctaSpmFnjpZ9jvMqMQ/BA==" saltValue="EWD8lAmWILzobBlgCZpClQ==" spinCount="100000" sheet="1" objects="1" scenarios="1"/>
  <mergeCells count="12">
    <mergeCell ref="A10:D10"/>
    <mergeCell ref="A11:D11"/>
    <mergeCell ref="A32:D32"/>
    <mergeCell ref="A33:D33"/>
    <mergeCell ref="A34:D34"/>
    <mergeCell ref="A35:D35"/>
    <mergeCell ref="A36:D36"/>
    <mergeCell ref="A37:D37"/>
    <mergeCell ref="B15:C15"/>
    <mergeCell ref="B19:C19"/>
    <mergeCell ref="B28:C28"/>
    <mergeCell ref="A23:D24"/>
  </mergeCells>
  <pageMargins left="0.78740157499999996" right="0.78740157499999996" top="0.984251969" bottom="0.984251969" header="0.49212598499999999" footer="0.49212598499999999"/>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39997558519241921"/>
  </sheetPr>
  <dimension ref="A1:P260"/>
  <sheetViews>
    <sheetView zoomScale="70" zoomScaleNormal="70" workbookViewId="0"/>
  </sheetViews>
  <sheetFormatPr defaultColWidth="11.42578125" defaultRowHeight="15" x14ac:dyDescent="0.25"/>
  <cols>
    <col min="1" max="1" width="5.5703125" style="60" bestFit="1" customWidth="1"/>
    <col min="2" max="2" width="2.7109375" style="60" customWidth="1"/>
    <col min="3" max="3" width="3.5703125" style="60" bestFit="1" customWidth="1"/>
    <col min="4" max="4" width="21" style="60" customWidth="1"/>
    <col min="5" max="5" width="15.7109375" style="60" bestFit="1" customWidth="1"/>
    <col min="6" max="6" width="26.7109375" style="60" bestFit="1" customWidth="1"/>
    <col min="7" max="7" width="26.85546875" style="60" bestFit="1" customWidth="1"/>
    <col min="8" max="8" width="26.7109375" style="60" bestFit="1" customWidth="1"/>
    <col min="9" max="9" width="26.85546875" style="60" bestFit="1" customWidth="1"/>
    <col min="10" max="10" width="10.28515625" style="439" customWidth="1"/>
    <col min="11" max="11" width="11.42578125" style="60" customWidth="1"/>
    <col min="12" max="12" width="2" style="60" customWidth="1"/>
    <col min="13" max="13" width="11.42578125" style="60" customWidth="1"/>
    <col min="14" max="14" width="42.5703125" style="60" bestFit="1" customWidth="1"/>
    <col min="15" max="15" width="1.85546875" style="60" customWidth="1"/>
    <col min="16" max="16384" width="11.42578125" style="60"/>
  </cols>
  <sheetData>
    <row r="1" spans="1:16" x14ac:dyDescent="0.25">
      <c r="B1" s="560" t="s">
        <v>1182</v>
      </c>
    </row>
    <row r="3" spans="1:16" x14ac:dyDescent="0.25">
      <c r="A3" s="12" t="s">
        <v>689</v>
      </c>
    </row>
    <row r="5" spans="1:16" x14ac:dyDescent="0.25">
      <c r="A5" s="14" t="s">
        <v>691</v>
      </c>
      <c r="B5" s="61" t="s">
        <v>690</v>
      </c>
      <c r="C5" s="61"/>
    </row>
    <row r="7" spans="1:16" x14ac:dyDescent="0.25">
      <c r="A7" s="14" t="s">
        <v>692</v>
      </c>
      <c r="B7" s="61" t="s">
        <v>116</v>
      </c>
    </row>
    <row r="8" spans="1:16" x14ac:dyDescent="0.25">
      <c r="A8" s="1164" t="s">
        <v>8</v>
      </c>
      <c r="B8" s="1165"/>
      <c r="C8" s="1165"/>
      <c r="D8" s="1165"/>
      <c r="E8" s="1170" t="s">
        <v>117</v>
      </c>
      <c r="F8" s="1164" t="s">
        <v>118</v>
      </c>
      <c r="L8" s="439"/>
      <c r="N8" s="439"/>
      <c r="P8" s="439"/>
    </row>
    <row r="9" spans="1:16" x14ac:dyDescent="0.25">
      <c r="A9" s="1167"/>
      <c r="B9" s="1168"/>
      <c r="C9" s="1168"/>
      <c r="D9" s="1168"/>
      <c r="E9" s="1170"/>
      <c r="F9" s="1202"/>
      <c r="L9" s="439"/>
      <c r="N9" s="439"/>
      <c r="P9" s="439"/>
    </row>
    <row r="10" spans="1:16" ht="15" customHeight="1" x14ac:dyDescent="0.25">
      <c r="A10" s="1172" t="s">
        <v>11</v>
      </c>
      <c r="B10" s="1173"/>
      <c r="C10" s="1173"/>
      <c r="D10" s="1173"/>
      <c r="E10" s="440">
        <v>5</v>
      </c>
      <c r="F10" s="441">
        <v>0.15</v>
      </c>
      <c r="G10" s="21"/>
      <c r="L10" s="439"/>
      <c r="N10" s="439"/>
      <c r="P10" s="439"/>
    </row>
    <row r="11" spans="1:16" x14ac:dyDescent="0.25">
      <c r="A11" s="1172" t="s">
        <v>12</v>
      </c>
      <c r="B11" s="1173"/>
      <c r="C11" s="1173"/>
      <c r="D11" s="1173"/>
      <c r="E11" s="440">
        <v>10</v>
      </c>
      <c r="F11" s="441">
        <v>0.1</v>
      </c>
      <c r="G11" s="21"/>
      <c r="L11" s="439"/>
      <c r="N11" s="439"/>
      <c r="P11" s="439"/>
    </row>
    <row r="12" spans="1:16" ht="15" customHeight="1" x14ac:dyDescent="0.25">
      <c r="A12" s="1172" t="s">
        <v>13</v>
      </c>
      <c r="B12" s="1173"/>
      <c r="C12" s="1173"/>
      <c r="D12" s="1173"/>
      <c r="E12" s="440">
        <v>10</v>
      </c>
      <c r="F12" s="441">
        <v>0.1</v>
      </c>
      <c r="G12" s="21"/>
      <c r="L12" s="439"/>
      <c r="N12" s="439"/>
      <c r="P12" s="439"/>
    </row>
    <row r="13" spans="1:16" x14ac:dyDescent="0.25">
      <c r="A13" s="1172" t="s">
        <v>14</v>
      </c>
      <c r="B13" s="1173"/>
      <c r="C13" s="1173"/>
      <c r="D13" s="1173"/>
      <c r="E13" s="440">
        <v>10</v>
      </c>
      <c r="F13" s="441">
        <v>0.1</v>
      </c>
      <c r="G13" s="21"/>
      <c r="L13" s="439"/>
      <c r="N13" s="439"/>
      <c r="P13" s="439"/>
    </row>
    <row r="14" spans="1:16" ht="15" customHeight="1" x14ac:dyDescent="0.25">
      <c r="A14" s="1172" t="s">
        <v>15</v>
      </c>
      <c r="B14" s="1173"/>
      <c r="C14" s="1173"/>
      <c r="D14" s="1173"/>
      <c r="E14" s="440">
        <v>10</v>
      </c>
      <c r="F14" s="441">
        <v>0.1</v>
      </c>
      <c r="G14" s="21"/>
    </row>
    <row r="15" spans="1:16" x14ac:dyDescent="0.25">
      <c r="A15" s="1172" t="s">
        <v>16</v>
      </c>
      <c r="B15" s="1173"/>
      <c r="C15" s="1173"/>
      <c r="D15" s="1173"/>
      <c r="E15" s="440">
        <v>12</v>
      </c>
      <c r="F15" s="441">
        <v>0.05</v>
      </c>
      <c r="G15" s="21"/>
    </row>
    <row r="16" spans="1:16" x14ac:dyDescent="0.25">
      <c r="A16" s="1172" t="s">
        <v>17</v>
      </c>
      <c r="B16" s="1173"/>
      <c r="C16" s="1173"/>
      <c r="D16" s="1173"/>
      <c r="E16" s="440">
        <v>12</v>
      </c>
      <c r="F16" s="441">
        <v>0.05</v>
      </c>
      <c r="G16" s="21"/>
    </row>
    <row r="17" spans="1:13" x14ac:dyDescent="0.25">
      <c r="A17" s="442"/>
      <c r="B17" s="442"/>
      <c r="C17" s="442"/>
      <c r="D17" s="442"/>
      <c r="E17" s="443"/>
      <c r="F17" s="444"/>
      <c r="G17" s="445"/>
      <c r="J17" s="446"/>
    </row>
    <row r="18" spans="1:13" ht="15.75" thickBot="1" x14ac:dyDescent="0.3">
      <c r="A18" s="14" t="s">
        <v>693</v>
      </c>
      <c r="B18" s="61" t="s">
        <v>125</v>
      </c>
    </row>
    <row r="19" spans="1:13" ht="15" customHeight="1" x14ac:dyDescent="0.25">
      <c r="A19" s="1296" t="s">
        <v>8</v>
      </c>
      <c r="B19" s="1296"/>
      <c r="C19" s="1296"/>
      <c r="D19" s="1296"/>
      <c r="E19" s="1282" t="s">
        <v>115</v>
      </c>
      <c r="F19" s="1302" t="s">
        <v>6</v>
      </c>
      <c r="G19" s="1303"/>
      <c r="H19" s="1302" t="s">
        <v>7</v>
      </c>
      <c r="I19" s="1303"/>
      <c r="J19" s="1300" t="s">
        <v>244</v>
      </c>
    </row>
    <row r="20" spans="1:13" ht="15.75" thickBot="1" x14ac:dyDescent="0.3">
      <c r="A20" s="1282"/>
      <c r="B20" s="1282"/>
      <c r="C20" s="1282"/>
      <c r="D20" s="1282"/>
      <c r="E20" s="1269"/>
      <c r="F20" s="447" t="s">
        <v>9</v>
      </c>
      <c r="G20" s="447" t="s">
        <v>10</v>
      </c>
      <c r="H20" s="447" t="s">
        <v>9</v>
      </c>
      <c r="I20" s="447" t="s">
        <v>10</v>
      </c>
      <c r="J20" s="1301"/>
    </row>
    <row r="21" spans="1:13" x14ac:dyDescent="0.25">
      <c r="A21" s="1272" t="s">
        <v>124</v>
      </c>
      <c r="B21" s="1273"/>
      <c r="C21" s="1273"/>
      <c r="D21" s="1274"/>
      <c r="E21" s="448">
        <v>0</v>
      </c>
      <c r="F21" s="449">
        <f>'ANTP_1.3 Frota Total'!E33</f>
        <v>0</v>
      </c>
      <c r="G21" s="449">
        <f>'ANTP_1.3 Frota Total'!F33</f>
        <v>0</v>
      </c>
      <c r="H21" s="449">
        <f>'ANTP_1.3 Frota Total'!G33</f>
        <v>0</v>
      </c>
      <c r="I21" s="450">
        <f>'ANTP_1.3 Frota Total'!H33</f>
        <v>0</v>
      </c>
      <c r="J21" s="451">
        <v>1</v>
      </c>
    </row>
    <row r="22" spans="1:13" x14ac:dyDescent="0.25">
      <c r="A22" s="1251"/>
      <c r="B22" s="1252"/>
      <c r="C22" s="1252"/>
      <c r="D22" s="1253"/>
      <c r="E22" s="452">
        <v>1</v>
      </c>
      <c r="F22" s="453">
        <f>'ANTP_1.3 Frota Total'!E34</f>
        <v>0</v>
      </c>
      <c r="G22" s="453">
        <f>'ANTP_1.3 Frota Total'!F34</f>
        <v>0</v>
      </c>
      <c r="H22" s="453">
        <f>'ANTP_1.3 Frota Total'!G34</f>
        <v>0</v>
      </c>
      <c r="I22" s="454">
        <f>'ANTP_1.3 Frota Total'!H34</f>
        <v>0</v>
      </c>
      <c r="J22" s="455">
        <f>1-'Ref_A.IX.a. Deprec. veículos'!D21*12</f>
        <v>0.83636363636363642</v>
      </c>
      <c r="M22" s="456"/>
    </row>
    <row r="23" spans="1:13" x14ac:dyDescent="0.25">
      <c r="A23" s="1251"/>
      <c r="B23" s="1252"/>
      <c r="C23" s="1252"/>
      <c r="D23" s="1253"/>
      <c r="E23" s="452">
        <v>2</v>
      </c>
      <c r="F23" s="453">
        <f>'ANTP_1.3 Frota Total'!E35</f>
        <v>0</v>
      </c>
      <c r="G23" s="453">
        <f>'ANTP_1.3 Frota Total'!F35</f>
        <v>0</v>
      </c>
      <c r="H23" s="453">
        <f>'ANTP_1.3 Frota Total'!G35</f>
        <v>0</v>
      </c>
      <c r="I23" s="454">
        <f>'ANTP_1.3 Frota Total'!H35</f>
        <v>0</v>
      </c>
      <c r="J23" s="455">
        <f>1-SUM('Ref_A.IX.a. Deprec. veículos'!D21:D22)*12</f>
        <v>0.68909090909090909</v>
      </c>
      <c r="M23" s="456"/>
    </row>
    <row r="24" spans="1:13" x14ac:dyDescent="0.25">
      <c r="A24" s="1251"/>
      <c r="B24" s="1252"/>
      <c r="C24" s="1252"/>
      <c r="D24" s="1253"/>
      <c r="E24" s="452">
        <v>3</v>
      </c>
      <c r="F24" s="453">
        <f>'ANTP_1.3 Frota Total'!E36</f>
        <v>0</v>
      </c>
      <c r="G24" s="453">
        <f>'ANTP_1.3 Frota Total'!F36</f>
        <v>0</v>
      </c>
      <c r="H24" s="453">
        <f>'ANTP_1.3 Frota Total'!G36</f>
        <v>0</v>
      </c>
      <c r="I24" s="454">
        <f>'ANTP_1.3 Frota Total'!H36</f>
        <v>0</v>
      </c>
      <c r="J24" s="455">
        <f>1-SUM('Ref_A.IX.a. Deprec. veículos'!D21:D23)*12</f>
        <v>0.55818181818181811</v>
      </c>
      <c r="L24" s="286"/>
      <c r="M24" s="456"/>
    </row>
    <row r="25" spans="1:13" x14ac:dyDescent="0.25">
      <c r="A25" s="1251"/>
      <c r="B25" s="1252"/>
      <c r="C25" s="1252"/>
      <c r="D25" s="1253"/>
      <c r="E25" s="452">
        <v>4</v>
      </c>
      <c r="F25" s="453">
        <f>'ANTP_1.3 Frota Total'!E37</f>
        <v>0</v>
      </c>
      <c r="G25" s="453">
        <f>'ANTP_1.3 Frota Total'!F37</f>
        <v>0</v>
      </c>
      <c r="H25" s="453">
        <f>'ANTP_1.3 Frota Total'!G37</f>
        <v>0</v>
      </c>
      <c r="I25" s="454">
        <f>'ANTP_1.3 Frota Total'!H37</f>
        <v>0</v>
      </c>
      <c r="J25" s="455">
        <f>1-SUM('Ref_A.IX.a. Deprec. veículos'!D21:D24)*12</f>
        <v>0.44363636363636361</v>
      </c>
      <c r="M25" s="456"/>
    </row>
    <row r="26" spans="1:13" ht="15.75" thickBot="1" x14ac:dyDescent="0.3">
      <c r="A26" s="1275"/>
      <c r="B26" s="1276"/>
      <c r="C26" s="1276"/>
      <c r="D26" s="1277"/>
      <c r="E26" s="457">
        <v>5</v>
      </c>
      <c r="F26" s="458">
        <f>'ANTP_1.3 Frota Total'!E38</f>
        <v>0</v>
      </c>
      <c r="G26" s="458">
        <f>'ANTP_1.3 Frota Total'!F38</f>
        <v>0</v>
      </c>
      <c r="H26" s="458">
        <f>'ANTP_1.3 Frota Total'!G38</f>
        <v>0</v>
      </c>
      <c r="I26" s="459">
        <f>'ANTP_1.3 Frota Total'!H38</f>
        <v>0</v>
      </c>
      <c r="J26" s="460">
        <f>1-SUM('Ref_A.IX.a. Deprec. veículos'!D21:D25)*12</f>
        <v>0.34545454545454546</v>
      </c>
    </row>
    <row r="27" spans="1:13" x14ac:dyDescent="0.25">
      <c r="A27" s="1272" t="s">
        <v>12</v>
      </c>
      <c r="B27" s="1273"/>
      <c r="C27" s="1273"/>
      <c r="D27" s="1274"/>
      <c r="E27" s="448">
        <v>0</v>
      </c>
      <c r="F27" s="449">
        <f>'ANTP_1.3 Frota Total'!E39</f>
        <v>0</v>
      </c>
      <c r="G27" s="449">
        <f>'ANTP_1.3 Frota Total'!F39</f>
        <v>0</v>
      </c>
      <c r="H27" s="449">
        <f>'ANTP_1.3 Frota Total'!G39</f>
        <v>0</v>
      </c>
      <c r="I27" s="461">
        <f>'ANTP_1.3 Frota Total'!H39</f>
        <v>0</v>
      </c>
      <c r="J27" s="467">
        <v>1</v>
      </c>
    </row>
    <row r="28" spans="1:13" x14ac:dyDescent="0.25">
      <c r="A28" s="1251"/>
      <c r="B28" s="1252"/>
      <c r="C28" s="1252"/>
      <c r="D28" s="1253"/>
      <c r="E28" s="452">
        <v>1</v>
      </c>
      <c r="F28" s="453">
        <f>'ANTP_1.3 Frota Total'!E40</f>
        <v>0</v>
      </c>
      <c r="G28" s="453">
        <f>'ANTP_1.3 Frota Total'!F40</f>
        <v>0</v>
      </c>
      <c r="H28" s="453">
        <f>'ANTP_1.3 Frota Total'!G40</f>
        <v>0</v>
      </c>
      <c r="I28" s="462">
        <f>'ANTP_1.3 Frota Total'!H40</f>
        <v>0</v>
      </c>
      <c r="J28" s="455">
        <f>1-'Ref_A.IX.a. Deprec. veículos'!D21*12</f>
        <v>0.83636363636363642</v>
      </c>
      <c r="M28" s="456"/>
    </row>
    <row r="29" spans="1:13" x14ac:dyDescent="0.25">
      <c r="A29" s="1251"/>
      <c r="B29" s="1252"/>
      <c r="C29" s="1252"/>
      <c r="D29" s="1253"/>
      <c r="E29" s="452">
        <v>2</v>
      </c>
      <c r="F29" s="453">
        <f>'ANTP_1.3 Frota Total'!E41</f>
        <v>0</v>
      </c>
      <c r="G29" s="453">
        <f>'ANTP_1.3 Frota Total'!F41</f>
        <v>0</v>
      </c>
      <c r="H29" s="453">
        <f>'ANTP_1.3 Frota Total'!G41</f>
        <v>0</v>
      </c>
      <c r="I29" s="462">
        <f>'ANTP_1.3 Frota Total'!H41</f>
        <v>0</v>
      </c>
      <c r="J29" s="455">
        <f>1-SUM('Ref_A.IX.a. Deprec. veículos'!D21:D22)*12</f>
        <v>0.68909090909090909</v>
      </c>
      <c r="M29" s="456"/>
    </row>
    <row r="30" spans="1:13" x14ac:dyDescent="0.25">
      <c r="A30" s="1251"/>
      <c r="B30" s="1252"/>
      <c r="C30" s="1252"/>
      <c r="D30" s="1253"/>
      <c r="E30" s="452">
        <v>3</v>
      </c>
      <c r="F30" s="453">
        <f>'ANTP_1.3 Frota Total'!E42</f>
        <v>0</v>
      </c>
      <c r="G30" s="453">
        <f>'ANTP_1.3 Frota Total'!F42</f>
        <v>0</v>
      </c>
      <c r="H30" s="453">
        <f>'ANTP_1.3 Frota Total'!G42</f>
        <v>0</v>
      </c>
      <c r="I30" s="462">
        <f>'ANTP_1.3 Frota Total'!H42</f>
        <v>0</v>
      </c>
      <c r="J30" s="455">
        <f>1-SUM('Ref_A.IX.a. Deprec. veículos'!D21:D23)*12</f>
        <v>0.55818181818181811</v>
      </c>
      <c r="M30" s="456"/>
    </row>
    <row r="31" spans="1:13" x14ac:dyDescent="0.25">
      <c r="A31" s="1251"/>
      <c r="B31" s="1252"/>
      <c r="C31" s="1252"/>
      <c r="D31" s="1253"/>
      <c r="E31" s="452">
        <v>4</v>
      </c>
      <c r="F31" s="453">
        <f>'ANTP_1.3 Frota Total'!E43</f>
        <v>0</v>
      </c>
      <c r="G31" s="453">
        <f>'ANTP_1.3 Frota Total'!F43</f>
        <v>0</v>
      </c>
      <c r="H31" s="453">
        <f>'ANTP_1.3 Frota Total'!G43</f>
        <v>0</v>
      </c>
      <c r="I31" s="462">
        <f>'ANTP_1.3 Frota Total'!H43</f>
        <v>0</v>
      </c>
      <c r="J31" s="455">
        <f>1-SUM('Ref_A.IX.a. Deprec. veículos'!D21:D24)*12</f>
        <v>0.44363636363636361</v>
      </c>
      <c r="M31" s="456"/>
    </row>
    <row r="32" spans="1:13" x14ac:dyDescent="0.25">
      <c r="A32" s="1251"/>
      <c r="B32" s="1252"/>
      <c r="C32" s="1252"/>
      <c r="D32" s="1253"/>
      <c r="E32" s="452">
        <v>5</v>
      </c>
      <c r="F32" s="453">
        <f>'ANTP_1.3 Frota Total'!E44</f>
        <v>0</v>
      </c>
      <c r="G32" s="453">
        <f>'ANTP_1.3 Frota Total'!F44</f>
        <v>0</v>
      </c>
      <c r="H32" s="453">
        <f>'ANTP_1.3 Frota Total'!G44</f>
        <v>0</v>
      </c>
      <c r="I32" s="462">
        <f>'ANTP_1.3 Frota Total'!H44</f>
        <v>0</v>
      </c>
      <c r="J32" s="455">
        <f>1-SUM('Ref_A.IX.a. Deprec. veículos'!D21:D25)*12</f>
        <v>0.34545454545454546</v>
      </c>
    </row>
    <row r="33" spans="1:10" x14ac:dyDescent="0.25">
      <c r="A33" s="1251"/>
      <c r="B33" s="1252"/>
      <c r="C33" s="1252"/>
      <c r="D33" s="1253"/>
      <c r="E33" s="452">
        <v>6</v>
      </c>
      <c r="F33" s="453">
        <f>'ANTP_1.3 Frota Total'!E45</f>
        <v>0</v>
      </c>
      <c r="G33" s="453">
        <f>'ANTP_1.3 Frota Total'!F45</f>
        <v>0</v>
      </c>
      <c r="H33" s="453">
        <f>'ANTP_1.3 Frota Total'!G45</f>
        <v>0</v>
      </c>
      <c r="I33" s="462">
        <f>'ANTP_1.3 Frota Total'!H45</f>
        <v>0</v>
      </c>
      <c r="J33" s="455">
        <f>1-SUM('Ref_A.IX.a. Deprec. veículos'!D21:D26)*12</f>
        <v>0.26363636363636356</v>
      </c>
    </row>
    <row r="34" spans="1:10" x14ac:dyDescent="0.25">
      <c r="A34" s="1251"/>
      <c r="B34" s="1252"/>
      <c r="C34" s="1252"/>
      <c r="D34" s="1253"/>
      <c r="E34" s="452">
        <v>7</v>
      </c>
      <c r="F34" s="453">
        <f>'ANTP_1.3 Frota Total'!E46</f>
        <v>0</v>
      </c>
      <c r="G34" s="453">
        <f>'ANTP_1.3 Frota Total'!F46</f>
        <v>0</v>
      </c>
      <c r="H34" s="453">
        <f>'ANTP_1.3 Frota Total'!G46</f>
        <v>0</v>
      </c>
      <c r="I34" s="462">
        <f>'ANTP_1.3 Frota Total'!H46</f>
        <v>0</v>
      </c>
      <c r="J34" s="455">
        <f>1-SUM('Ref_A.IX.a. Deprec. veículos'!D21:D27)*12</f>
        <v>0.19818181818181801</v>
      </c>
    </row>
    <row r="35" spans="1:10" x14ac:dyDescent="0.25">
      <c r="A35" s="1251"/>
      <c r="B35" s="1252"/>
      <c r="C35" s="1252"/>
      <c r="D35" s="1253"/>
      <c r="E35" s="452">
        <v>8</v>
      </c>
      <c r="F35" s="453">
        <f>'ANTP_1.3 Frota Total'!E47</f>
        <v>0</v>
      </c>
      <c r="G35" s="453">
        <f>'ANTP_1.3 Frota Total'!F47</f>
        <v>0</v>
      </c>
      <c r="H35" s="453">
        <f>'ANTP_1.3 Frota Total'!G47</f>
        <v>0</v>
      </c>
      <c r="I35" s="462">
        <f>'ANTP_1.3 Frota Total'!H47</f>
        <v>0</v>
      </c>
      <c r="J35" s="455">
        <f>1-SUM('Ref_A.IX.a. Deprec. veículos'!D21:D28)*12</f>
        <v>0.14909090909090894</v>
      </c>
    </row>
    <row r="36" spans="1:10" x14ac:dyDescent="0.25">
      <c r="A36" s="1251"/>
      <c r="B36" s="1252"/>
      <c r="C36" s="1252"/>
      <c r="D36" s="1253"/>
      <c r="E36" s="452">
        <v>9</v>
      </c>
      <c r="F36" s="453">
        <f>'ANTP_1.3 Frota Total'!E48</f>
        <v>0</v>
      </c>
      <c r="G36" s="453">
        <f>'ANTP_1.3 Frota Total'!F48</f>
        <v>0</v>
      </c>
      <c r="H36" s="453">
        <f>'ANTP_1.3 Frota Total'!G48</f>
        <v>0</v>
      </c>
      <c r="I36" s="462">
        <f>'ANTP_1.3 Frota Total'!H48</f>
        <v>0</v>
      </c>
      <c r="J36" s="455">
        <f>1-SUM('Ref_A.IX.a. Deprec. veículos'!D21:D29)*12</f>
        <v>0.11636363636363622</v>
      </c>
    </row>
    <row r="37" spans="1:10" ht="15.75" thickBot="1" x14ac:dyDescent="0.3">
      <c r="A37" s="1275"/>
      <c r="B37" s="1276"/>
      <c r="C37" s="1276"/>
      <c r="D37" s="1277"/>
      <c r="E37" s="457">
        <v>10</v>
      </c>
      <c r="F37" s="458">
        <f>'ANTP_1.3 Frota Total'!E49</f>
        <v>0</v>
      </c>
      <c r="G37" s="458">
        <f>'ANTP_1.3 Frota Total'!F49</f>
        <v>0</v>
      </c>
      <c r="H37" s="458">
        <f>'ANTP_1.3 Frota Total'!G49</f>
        <v>0</v>
      </c>
      <c r="I37" s="463">
        <f>'ANTP_1.3 Frota Total'!H49</f>
        <v>0</v>
      </c>
      <c r="J37" s="460">
        <f>1-SUM('Ref_A.IX.a. Deprec. veículos'!D21:D30)*12</f>
        <v>9.9999999999999867E-2</v>
      </c>
    </row>
    <row r="38" spans="1:10" x14ac:dyDescent="0.25">
      <c r="A38" s="1251" t="s">
        <v>13</v>
      </c>
      <c r="B38" s="1252"/>
      <c r="C38" s="1252"/>
      <c r="D38" s="1253"/>
      <c r="E38" s="464">
        <v>0</v>
      </c>
      <c r="F38" s="465">
        <f>'ANTP_1.3 Frota Total'!E50</f>
        <v>0</v>
      </c>
      <c r="G38" s="465">
        <f>'ANTP_1.3 Frota Total'!F50</f>
        <v>0</v>
      </c>
      <c r="H38" s="465">
        <f>'ANTP_1.3 Frota Total'!G50</f>
        <v>0</v>
      </c>
      <c r="I38" s="466">
        <f>'ANTP_1.3 Frota Total'!H50</f>
        <v>0</v>
      </c>
      <c r="J38" s="467">
        <v>1</v>
      </c>
    </row>
    <row r="39" spans="1:10" x14ac:dyDescent="0.25">
      <c r="A39" s="1251"/>
      <c r="B39" s="1252"/>
      <c r="C39" s="1252"/>
      <c r="D39" s="1253"/>
      <c r="E39" s="452">
        <v>1</v>
      </c>
      <c r="F39" s="453">
        <f>'ANTP_1.3 Frota Total'!E51</f>
        <v>0</v>
      </c>
      <c r="G39" s="453">
        <f>'ANTP_1.3 Frota Total'!F51</f>
        <v>0</v>
      </c>
      <c r="H39" s="453">
        <f>'ANTP_1.3 Frota Total'!G51</f>
        <v>0</v>
      </c>
      <c r="I39" s="462">
        <f>'ANTP_1.3 Frota Total'!H51</f>
        <v>0</v>
      </c>
      <c r="J39" s="455">
        <f>1-'Ref_A.IX.a. Deprec. veículos'!E21*12</f>
        <v>0.83636363636363642</v>
      </c>
    </row>
    <row r="40" spans="1:10" x14ac:dyDescent="0.25">
      <c r="A40" s="1251"/>
      <c r="B40" s="1252"/>
      <c r="C40" s="1252"/>
      <c r="D40" s="1253"/>
      <c r="E40" s="452">
        <v>2</v>
      </c>
      <c r="F40" s="453">
        <f>'ANTP_1.3 Frota Total'!E52</f>
        <v>0</v>
      </c>
      <c r="G40" s="453">
        <f>'ANTP_1.3 Frota Total'!F52</f>
        <v>0</v>
      </c>
      <c r="H40" s="453">
        <f>'ANTP_1.3 Frota Total'!G52</f>
        <v>0</v>
      </c>
      <c r="I40" s="462">
        <f>'ANTP_1.3 Frota Total'!H52</f>
        <v>0</v>
      </c>
      <c r="J40" s="455">
        <f>1-SUM('Ref_A.IX.a. Deprec. veículos'!E21:E22)*12</f>
        <v>0.68909090909090909</v>
      </c>
    </row>
    <row r="41" spans="1:10" x14ac:dyDescent="0.25">
      <c r="A41" s="1251"/>
      <c r="B41" s="1252"/>
      <c r="C41" s="1252"/>
      <c r="D41" s="1253"/>
      <c r="E41" s="452">
        <v>3</v>
      </c>
      <c r="F41" s="453">
        <f>'ANTP_1.3 Frota Total'!E53</f>
        <v>0</v>
      </c>
      <c r="G41" s="453">
        <f>'ANTP_1.3 Frota Total'!F53</f>
        <v>0</v>
      </c>
      <c r="H41" s="453">
        <f>'ANTP_1.3 Frota Total'!G53</f>
        <v>0</v>
      </c>
      <c r="I41" s="462">
        <f>'ANTP_1.3 Frota Total'!H53</f>
        <v>0</v>
      </c>
      <c r="J41" s="455">
        <f>1-SUM('Ref_A.IX.a. Deprec. veículos'!E21:E23)*12</f>
        <v>0.55818181818181811</v>
      </c>
    </row>
    <row r="42" spans="1:10" x14ac:dyDescent="0.25">
      <c r="A42" s="1251"/>
      <c r="B42" s="1252"/>
      <c r="C42" s="1252"/>
      <c r="D42" s="1253"/>
      <c r="E42" s="452">
        <v>4</v>
      </c>
      <c r="F42" s="453">
        <f>'ANTP_1.3 Frota Total'!E54</f>
        <v>0</v>
      </c>
      <c r="G42" s="453">
        <f>'ANTP_1.3 Frota Total'!F54</f>
        <v>0</v>
      </c>
      <c r="H42" s="453">
        <f>'ANTP_1.3 Frota Total'!G54</f>
        <v>0</v>
      </c>
      <c r="I42" s="462">
        <f>'ANTP_1.3 Frota Total'!H54</f>
        <v>0</v>
      </c>
      <c r="J42" s="455">
        <f>1-SUM('Ref_A.IX.a. Deprec. veículos'!E21:E24)*12</f>
        <v>0.44363636363636361</v>
      </c>
    </row>
    <row r="43" spans="1:10" x14ac:dyDescent="0.25">
      <c r="A43" s="1251"/>
      <c r="B43" s="1252"/>
      <c r="C43" s="1252"/>
      <c r="D43" s="1253"/>
      <c r="E43" s="452">
        <v>5</v>
      </c>
      <c r="F43" s="453">
        <f>'ANTP_1.3 Frota Total'!E55</f>
        <v>0</v>
      </c>
      <c r="G43" s="453">
        <f>'ANTP_1.3 Frota Total'!F55</f>
        <v>0</v>
      </c>
      <c r="H43" s="453">
        <f>'ANTP_1.3 Frota Total'!G55</f>
        <v>0</v>
      </c>
      <c r="I43" s="462">
        <f>'ANTP_1.3 Frota Total'!H55</f>
        <v>0</v>
      </c>
      <c r="J43" s="455">
        <f>1-SUM('Ref_A.IX.a. Deprec. veículos'!E21:E25)*12</f>
        <v>0.34545454545454546</v>
      </c>
    </row>
    <row r="44" spans="1:10" x14ac:dyDescent="0.25">
      <c r="A44" s="1251"/>
      <c r="B44" s="1252"/>
      <c r="C44" s="1252"/>
      <c r="D44" s="1253"/>
      <c r="E44" s="452">
        <v>6</v>
      </c>
      <c r="F44" s="453">
        <f>'ANTP_1.3 Frota Total'!E56</f>
        <v>0</v>
      </c>
      <c r="G44" s="453">
        <f>'ANTP_1.3 Frota Total'!F56</f>
        <v>0</v>
      </c>
      <c r="H44" s="453">
        <f>'ANTP_1.3 Frota Total'!G56</f>
        <v>0</v>
      </c>
      <c r="I44" s="462">
        <f>'ANTP_1.3 Frota Total'!H56</f>
        <v>0</v>
      </c>
      <c r="J44" s="455">
        <f>1-SUM('Ref_A.IX.a. Deprec. veículos'!E21:E26)*12</f>
        <v>0.26363636363636356</v>
      </c>
    </row>
    <row r="45" spans="1:10" x14ac:dyDescent="0.25">
      <c r="A45" s="1251"/>
      <c r="B45" s="1252"/>
      <c r="C45" s="1252"/>
      <c r="D45" s="1253"/>
      <c r="E45" s="452">
        <v>7</v>
      </c>
      <c r="F45" s="453">
        <f>'ANTP_1.3 Frota Total'!E57</f>
        <v>0</v>
      </c>
      <c r="G45" s="453">
        <f>'ANTP_1.3 Frota Total'!F57</f>
        <v>0</v>
      </c>
      <c r="H45" s="453">
        <f>'ANTP_1.3 Frota Total'!G57</f>
        <v>0</v>
      </c>
      <c r="I45" s="462">
        <f>'ANTP_1.3 Frota Total'!H57</f>
        <v>0</v>
      </c>
      <c r="J45" s="455">
        <f>1-SUM('Ref_A.IX.a. Deprec. veículos'!E21:E27)*12</f>
        <v>0.19818181818181801</v>
      </c>
    </row>
    <row r="46" spans="1:10" x14ac:dyDescent="0.25">
      <c r="A46" s="1251"/>
      <c r="B46" s="1252"/>
      <c r="C46" s="1252"/>
      <c r="D46" s="1253"/>
      <c r="E46" s="468">
        <v>8</v>
      </c>
      <c r="F46" s="453">
        <f>'ANTP_1.3 Frota Total'!E58</f>
        <v>0</v>
      </c>
      <c r="G46" s="453">
        <f>'ANTP_1.3 Frota Total'!F58</f>
        <v>0</v>
      </c>
      <c r="H46" s="453">
        <f>'ANTP_1.3 Frota Total'!G58</f>
        <v>0</v>
      </c>
      <c r="I46" s="462">
        <f>'ANTP_1.3 Frota Total'!H58</f>
        <v>0</v>
      </c>
      <c r="J46" s="455">
        <f>1-SUM('Ref_A.IX.a. Deprec. veículos'!E21:E28)*12</f>
        <v>0.14909090909090894</v>
      </c>
    </row>
    <row r="47" spans="1:10" x14ac:dyDescent="0.25">
      <c r="A47" s="1251"/>
      <c r="B47" s="1252"/>
      <c r="C47" s="1252"/>
      <c r="D47" s="1253"/>
      <c r="E47" s="452">
        <v>9</v>
      </c>
      <c r="F47" s="453">
        <f>'ANTP_1.3 Frota Total'!E59</f>
        <v>0</v>
      </c>
      <c r="G47" s="453">
        <f>'ANTP_1.3 Frota Total'!F59</f>
        <v>0</v>
      </c>
      <c r="H47" s="453">
        <f>'ANTP_1.3 Frota Total'!G59</f>
        <v>0</v>
      </c>
      <c r="I47" s="462">
        <f>'ANTP_1.3 Frota Total'!H59</f>
        <v>0</v>
      </c>
      <c r="J47" s="455">
        <f>1-SUM('Ref_A.IX.a. Deprec. veículos'!E21:E29)*12</f>
        <v>0.11636363636363622</v>
      </c>
    </row>
    <row r="48" spans="1:10" ht="15.75" thickBot="1" x14ac:dyDescent="0.3">
      <c r="A48" s="1275"/>
      <c r="B48" s="1276"/>
      <c r="C48" s="1276"/>
      <c r="D48" s="1277"/>
      <c r="E48" s="468">
        <v>10</v>
      </c>
      <c r="F48" s="453">
        <f>'ANTP_1.3 Frota Total'!E60</f>
        <v>0</v>
      </c>
      <c r="G48" s="453">
        <f>'ANTP_1.3 Frota Total'!F60</f>
        <v>0</v>
      </c>
      <c r="H48" s="453">
        <f>'ANTP_1.3 Frota Total'!G60</f>
        <v>0</v>
      </c>
      <c r="I48" s="462">
        <f>'ANTP_1.3 Frota Total'!H60</f>
        <v>0</v>
      </c>
      <c r="J48" s="460">
        <f>1-SUM('Ref_A.IX.a. Deprec. veículos'!E21:E30)*12</f>
        <v>9.9999999999999867E-2</v>
      </c>
    </row>
    <row r="49" spans="1:10" x14ac:dyDescent="0.25">
      <c r="A49" s="1272" t="s">
        <v>14</v>
      </c>
      <c r="B49" s="1273"/>
      <c r="C49" s="1273"/>
      <c r="D49" s="1297"/>
      <c r="E49" s="469">
        <v>0</v>
      </c>
      <c r="F49" s="449">
        <f>'ANTP_1.3 Frota Total'!E61</f>
        <v>0</v>
      </c>
      <c r="G49" s="449">
        <f>'ANTP_1.3 Frota Total'!F61</f>
        <v>0</v>
      </c>
      <c r="H49" s="449">
        <f>'ANTP_1.3 Frota Total'!G61</f>
        <v>0</v>
      </c>
      <c r="I49" s="461">
        <f>'ANTP_1.3 Frota Total'!H61</f>
        <v>0</v>
      </c>
      <c r="J49" s="451">
        <v>1</v>
      </c>
    </row>
    <row r="50" spans="1:10" x14ac:dyDescent="0.25">
      <c r="A50" s="1251"/>
      <c r="B50" s="1252"/>
      <c r="C50" s="1252"/>
      <c r="D50" s="1298"/>
      <c r="E50" s="470">
        <v>1</v>
      </c>
      <c r="F50" s="453">
        <f>'ANTP_1.3 Frota Total'!E62</f>
        <v>0</v>
      </c>
      <c r="G50" s="453">
        <f>'ANTP_1.3 Frota Total'!F62</f>
        <v>0</v>
      </c>
      <c r="H50" s="453">
        <f>'ANTP_1.3 Frota Total'!G62</f>
        <v>0</v>
      </c>
      <c r="I50" s="462">
        <f>'ANTP_1.3 Frota Total'!H62</f>
        <v>0</v>
      </c>
      <c r="J50" s="455">
        <f>1-'Ref_A.IX.a. Deprec. veículos'!E21*12</f>
        <v>0.83636363636363642</v>
      </c>
    </row>
    <row r="51" spans="1:10" x14ac:dyDescent="0.25">
      <c r="A51" s="1251"/>
      <c r="B51" s="1252"/>
      <c r="C51" s="1252"/>
      <c r="D51" s="1298"/>
      <c r="E51" s="470">
        <v>2</v>
      </c>
      <c r="F51" s="453">
        <f>'ANTP_1.3 Frota Total'!E63</f>
        <v>0</v>
      </c>
      <c r="G51" s="453">
        <f>'ANTP_1.3 Frota Total'!F63</f>
        <v>0</v>
      </c>
      <c r="H51" s="453">
        <f>'ANTP_1.3 Frota Total'!G63</f>
        <v>0</v>
      </c>
      <c r="I51" s="462">
        <f>'ANTP_1.3 Frota Total'!H63</f>
        <v>0</v>
      </c>
      <c r="J51" s="455">
        <f>1-SUM('Ref_A.IX.a. Deprec. veículos'!E21:E22)*12</f>
        <v>0.68909090909090909</v>
      </c>
    </row>
    <row r="52" spans="1:10" x14ac:dyDescent="0.25">
      <c r="A52" s="1251"/>
      <c r="B52" s="1252"/>
      <c r="C52" s="1252"/>
      <c r="D52" s="1298"/>
      <c r="E52" s="470">
        <v>3</v>
      </c>
      <c r="F52" s="453">
        <f>'ANTP_1.3 Frota Total'!E64</f>
        <v>0</v>
      </c>
      <c r="G52" s="453">
        <f>'ANTP_1.3 Frota Total'!F64</f>
        <v>0</v>
      </c>
      <c r="H52" s="453">
        <f>'ANTP_1.3 Frota Total'!G64</f>
        <v>0</v>
      </c>
      <c r="I52" s="462">
        <f>'ANTP_1.3 Frota Total'!H64</f>
        <v>0</v>
      </c>
      <c r="J52" s="455">
        <f>1-SUM('Ref_A.IX.a. Deprec. veículos'!E21:E23)*12</f>
        <v>0.55818181818181811</v>
      </c>
    </row>
    <row r="53" spans="1:10" x14ac:dyDescent="0.25">
      <c r="A53" s="1251"/>
      <c r="B53" s="1252"/>
      <c r="C53" s="1252"/>
      <c r="D53" s="1298"/>
      <c r="E53" s="470">
        <v>4</v>
      </c>
      <c r="F53" s="453">
        <f>'ANTP_1.3 Frota Total'!E65</f>
        <v>0</v>
      </c>
      <c r="G53" s="453">
        <f>'ANTP_1.3 Frota Total'!F65</f>
        <v>0</v>
      </c>
      <c r="H53" s="453">
        <f>'ANTP_1.3 Frota Total'!G65</f>
        <v>0</v>
      </c>
      <c r="I53" s="462">
        <f>'ANTP_1.3 Frota Total'!H65</f>
        <v>0</v>
      </c>
      <c r="J53" s="455">
        <f>1-SUM('Ref_A.IX.a. Deprec. veículos'!E21:E24)*12</f>
        <v>0.44363636363636361</v>
      </c>
    </row>
    <row r="54" spans="1:10" x14ac:dyDescent="0.25">
      <c r="A54" s="1251"/>
      <c r="B54" s="1252"/>
      <c r="C54" s="1252"/>
      <c r="D54" s="1298"/>
      <c r="E54" s="470">
        <v>5</v>
      </c>
      <c r="F54" s="453">
        <f>'ANTP_1.3 Frota Total'!E66</f>
        <v>4</v>
      </c>
      <c r="G54" s="453">
        <f>'ANTP_1.3 Frota Total'!F66</f>
        <v>0</v>
      </c>
      <c r="H54" s="453">
        <f>'ANTP_1.3 Frota Total'!G66</f>
        <v>0</v>
      </c>
      <c r="I54" s="462">
        <f>'ANTP_1.3 Frota Total'!H66</f>
        <v>0</v>
      </c>
      <c r="J54" s="455">
        <f>1-SUM('Ref_A.IX.a. Deprec. veículos'!E21:E25)*12</f>
        <v>0.34545454545454546</v>
      </c>
    </row>
    <row r="55" spans="1:10" x14ac:dyDescent="0.25">
      <c r="A55" s="1251"/>
      <c r="B55" s="1252"/>
      <c r="C55" s="1252"/>
      <c r="D55" s="1298"/>
      <c r="E55" s="470">
        <v>6</v>
      </c>
      <c r="F55" s="453">
        <f>'ANTP_1.3 Frota Total'!E67</f>
        <v>0</v>
      </c>
      <c r="G55" s="453">
        <f>'ANTP_1.3 Frota Total'!F67</f>
        <v>0</v>
      </c>
      <c r="H55" s="453">
        <f>'ANTP_1.3 Frota Total'!G67</f>
        <v>0</v>
      </c>
      <c r="I55" s="462">
        <f>'ANTP_1.3 Frota Total'!H67</f>
        <v>0</v>
      </c>
      <c r="J55" s="455">
        <f>1-SUM('Ref_A.IX.a. Deprec. veículos'!E21:E26)*12</f>
        <v>0.26363636363636356</v>
      </c>
    </row>
    <row r="56" spans="1:10" x14ac:dyDescent="0.25">
      <c r="A56" s="1251"/>
      <c r="B56" s="1252"/>
      <c r="C56" s="1252"/>
      <c r="D56" s="1298"/>
      <c r="E56" s="470">
        <v>7</v>
      </c>
      <c r="F56" s="453">
        <f>'ANTP_1.3 Frota Total'!E68</f>
        <v>3</v>
      </c>
      <c r="G56" s="453">
        <f>'ANTP_1.3 Frota Total'!F68</f>
        <v>0</v>
      </c>
      <c r="H56" s="453">
        <f>'ANTP_1.3 Frota Total'!G68</f>
        <v>0</v>
      </c>
      <c r="I56" s="462">
        <f>'ANTP_1.3 Frota Total'!H68</f>
        <v>0</v>
      </c>
      <c r="J56" s="455">
        <f>1-SUM('Ref_A.IX.a. Deprec. veículos'!E21:E27)*12</f>
        <v>0.19818181818181801</v>
      </c>
    </row>
    <row r="57" spans="1:10" x14ac:dyDescent="0.25">
      <c r="A57" s="1251"/>
      <c r="B57" s="1252"/>
      <c r="C57" s="1252"/>
      <c r="D57" s="1298"/>
      <c r="E57" s="471">
        <v>8</v>
      </c>
      <c r="F57" s="453">
        <f>'ANTP_1.3 Frota Total'!E69</f>
        <v>0</v>
      </c>
      <c r="G57" s="453">
        <f>'ANTP_1.3 Frota Total'!F69</f>
        <v>0</v>
      </c>
      <c r="H57" s="453">
        <f>'ANTP_1.3 Frota Total'!G69</f>
        <v>0</v>
      </c>
      <c r="I57" s="462">
        <f>'ANTP_1.3 Frota Total'!H69</f>
        <v>0</v>
      </c>
      <c r="J57" s="455">
        <f>1-SUM('Ref_A.IX.a. Deprec. veículos'!E21:E28)*12</f>
        <v>0.14909090909090894</v>
      </c>
    </row>
    <row r="58" spans="1:10" x14ac:dyDescent="0.25">
      <c r="A58" s="1251"/>
      <c r="B58" s="1252"/>
      <c r="C58" s="1252"/>
      <c r="D58" s="1298"/>
      <c r="E58" s="470">
        <v>9</v>
      </c>
      <c r="F58" s="453">
        <f>'ANTP_1.3 Frota Total'!E70</f>
        <v>4</v>
      </c>
      <c r="G58" s="453">
        <f>'ANTP_1.3 Frota Total'!F70</f>
        <v>0</v>
      </c>
      <c r="H58" s="453">
        <f>'ANTP_1.3 Frota Total'!G70</f>
        <v>0</v>
      </c>
      <c r="I58" s="462">
        <f>'ANTP_1.3 Frota Total'!H70</f>
        <v>0</v>
      </c>
      <c r="J58" s="455">
        <f>1-SUM('Ref_A.IX.a. Deprec. veículos'!E20:E29)*12</f>
        <v>0.11636363636363622</v>
      </c>
    </row>
    <row r="59" spans="1:10" ht="15.75" thickBot="1" x14ac:dyDescent="0.3">
      <c r="A59" s="1275"/>
      <c r="B59" s="1276"/>
      <c r="C59" s="1276"/>
      <c r="D59" s="1299"/>
      <c r="E59" s="471">
        <v>10</v>
      </c>
      <c r="F59" s="453">
        <f>'ANTP_1.3 Frota Total'!E71</f>
        <v>0</v>
      </c>
      <c r="G59" s="453">
        <f>'ANTP_1.3 Frota Total'!F71</f>
        <v>0</v>
      </c>
      <c r="H59" s="453">
        <f>'ANTP_1.3 Frota Total'!G71</f>
        <v>0</v>
      </c>
      <c r="I59" s="462">
        <f>'ANTP_1.3 Frota Total'!H71</f>
        <v>0</v>
      </c>
      <c r="J59" s="460">
        <f>1-SUM('Ref_A.IX.a. Deprec. veículos'!E20:E30)*12</f>
        <v>9.9999999999999867E-2</v>
      </c>
    </row>
    <row r="60" spans="1:10" x14ac:dyDescent="0.25">
      <c r="A60" s="1251" t="s">
        <v>15</v>
      </c>
      <c r="B60" s="1252"/>
      <c r="C60" s="1252"/>
      <c r="D60" s="1253"/>
      <c r="E60" s="448">
        <v>0</v>
      </c>
      <c r="F60" s="449">
        <f>'ANTP_1.3 Frota Total'!E72</f>
        <v>0</v>
      </c>
      <c r="G60" s="449">
        <f>'ANTP_1.3 Frota Total'!F72</f>
        <v>0</v>
      </c>
      <c r="H60" s="449">
        <f>'ANTP_1.3 Frota Total'!G72</f>
        <v>0</v>
      </c>
      <c r="I60" s="461">
        <f>'ANTP_1.3 Frota Total'!H72</f>
        <v>0</v>
      </c>
      <c r="J60" s="451">
        <v>1</v>
      </c>
    </row>
    <row r="61" spans="1:10" x14ac:dyDescent="0.25">
      <c r="A61" s="1251"/>
      <c r="B61" s="1252"/>
      <c r="C61" s="1252"/>
      <c r="D61" s="1253"/>
      <c r="E61" s="452">
        <v>1</v>
      </c>
      <c r="F61" s="453">
        <f>'ANTP_1.3 Frota Total'!E73</f>
        <v>0</v>
      </c>
      <c r="G61" s="453">
        <f>'ANTP_1.3 Frota Total'!F73</f>
        <v>0</v>
      </c>
      <c r="H61" s="453">
        <f>'ANTP_1.3 Frota Total'!G73</f>
        <v>0</v>
      </c>
      <c r="I61" s="454">
        <f>'ANTP_1.3 Frota Total'!H73</f>
        <v>0</v>
      </c>
      <c r="J61" s="472">
        <f>1-'Ref_A.IX.a. Deprec. veículos'!F21*12</f>
        <v>0.83636363636363642</v>
      </c>
    </row>
    <row r="62" spans="1:10" x14ac:dyDescent="0.25">
      <c r="A62" s="1251"/>
      <c r="B62" s="1252"/>
      <c r="C62" s="1252"/>
      <c r="D62" s="1253"/>
      <c r="E62" s="452">
        <v>2</v>
      </c>
      <c r="F62" s="453">
        <f>'ANTP_1.3 Frota Total'!E74</f>
        <v>0</v>
      </c>
      <c r="G62" s="453">
        <f>'ANTP_1.3 Frota Total'!F74</f>
        <v>0</v>
      </c>
      <c r="H62" s="453">
        <f>'ANTP_1.3 Frota Total'!G74</f>
        <v>0</v>
      </c>
      <c r="I62" s="454">
        <f>'ANTP_1.3 Frota Total'!H74</f>
        <v>0</v>
      </c>
      <c r="J62" s="472">
        <f>1-SUM('Ref_A.IX.a. Deprec. veículos'!F21:F22)*12</f>
        <v>0.68909090909090909</v>
      </c>
    </row>
    <row r="63" spans="1:10" x14ac:dyDescent="0.25">
      <c r="A63" s="1251"/>
      <c r="B63" s="1252"/>
      <c r="C63" s="1252"/>
      <c r="D63" s="1253"/>
      <c r="E63" s="452">
        <v>3</v>
      </c>
      <c r="F63" s="453">
        <f>'ANTP_1.3 Frota Total'!E75</f>
        <v>0</v>
      </c>
      <c r="G63" s="453">
        <f>'ANTP_1.3 Frota Total'!F75</f>
        <v>0</v>
      </c>
      <c r="H63" s="453">
        <f>'ANTP_1.3 Frota Total'!G75</f>
        <v>0</v>
      </c>
      <c r="I63" s="454">
        <f>'ANTP_1.3 Frota Total'!H75</f>
        <v>0</v>
      </c>
      <c r="J63" s="472">
        <f>1-SUM('Ref_A.IX.a. Deprec. veículos'!F21:F23)*12</f>
        <v>0.55818181818181811</v>
      </c>
    </row>
    <row r="64" spans="1:10" x14ac:dyDescent="0.25">
      <c r="A64" s="1251"/>
      <c r="B64" s="1252"/>
      <c r="C64" s="1252"/>
      <c r="D64" s="1253"/>
      <c r="E64" s="452">
        <v>4</v>
      </c>
      <c r="F64" s="453">
        <f>'ANTP_1.3 Frota Total'!E76</f>
        <v>0</v>
      </c>
      <c r="G64" s="453">
        <f>'ANTP_1.3 Frota Total'!F76</f>
        <v>0</v>
      </c>
      <c r="H64" s="453">
        <f>'ANTP_1.3 Frota Total'!G76</f>
        <v>0</v>
      </c>
      <c r="I64" s="454">
        <f>'ANTP_1.3 Frota Total'!H76</f>
        <v>0</v>
      </c>
      <c r="J64" s="472">
        <f>1-SUM('Ref_A.IX.a. Deprec. veículos'!F21:F24)*12</f>
        <v>0.44363636363636361</v>
      </c>
    </row>
    <row r="65" spans="1:10" x14ac:dyDescent="0.25">
      <c r="A65" s="1251"/>
      <c r="B65" s="1252"/>
      <c r="C65" s="1252"/>
      <c r="D65" s="1253"/>
      <c r="E65" s="452">
        <v>5</v>
      </c>
      <c r="F65" s="453">
        <f>'ANTP_1.3 Frota Total'!E77</f>
        <v>0</v>
      </c>
      <c r="G65" s="453">
        <f>'ANTP_1.3 Frota Total'!F77</f>
        <v>0</v>
      </c>
      <c r="H65" s="453">
        <f>'ANTP_1.3 Frota Total'!G77</f>
        <v>0</v>
      </c>
      <c r="I65" s="454">
        <f>'ANTP_1.3 Frota Total'!H77</f>
        <v>0</v>
      </c>
      <c r="J65" s="472">
        <f>1-SUM('Ref_A.IX.a. Deprec. veículos'!F21:F25)*12</f>
        <v>0.34545454545454546</v>
      </c>
    </row>
    <row r="66" spans="1:10" x14ac:dyDescent="0.25">
      <c r="A66" s="1251"/>
      <c r="B66" s="1252"/>
      <c r="C66" s="1252"/>
      <c r="D66" s="1253"/>
      <c r="E66" s="452">
        <v>6</v>
      </c>
      <c r="F66" s="453">
        <f>'ANTP_1.3 Frota Total'!E78</f>
        <v>0</v>
      </c>
      <c r="G66" s="453">
        <f>'ANTP_1.3 Frota Total'!F78</f>
        <v>0</v>
      </c>
      <c r="H66" s="453">
        <f>'ANTP_1.3 Frota Total'!G78</f>
        <v>0</v>
      </c>
      <c r="I66" s="454">
        <f>'ANTP_1.3 Frota Total'!H78</f>
        <v>0</v>
      </c>
      <c r="J66" s="472">
        <f>1-SUM('Ref_A.IX.a. Deprec. veículos'!F21:F26)*12</f>
        <v>0.26363636363636356</v>
      </c>
    </row>
    <row r="67" spans="1:10" x14ac:dyDescent="0.25">
      <c r="A67" s="1251"/>
      <c r="B67" s="1252"/>
      <c r="C67" s="1252"/>
      <c r="D67" s="1253"/>
      <c r="E67" s="452">
        <v>7</v>
      </c>
      <c r="F67" s="453">
        <f>'ANTP_1.3 Frota Total'!E79</f>
        <v>0</v>
      </c>
      <c r="G67" s="453">
        <f>'ANTP_1.3 Frota Total'!F79</f>
        <v>0</v>
      </c>
      <c r="H67" s="453">
        <f>'ANTP_1.3 Frota Total'!G79</f>
        <v>0</v>
      </c>
      <c r="I67" s="454">
        <f>'ANTP_1.3 Frota Total'!H79</f>
        <v>0</v>
      </c>
      <c r="J67" s="472">
        <f>1-SUM('Ref_A.IX.a. Deprec. veículos'!F21:F27)*12</f>
        <v>0.19818181818181801</v>
      </c>
    </row>
    <row r="68" spans="1:10" x14ac:dyDescent="0.25">
      <c r="A68" s="1251"/>
      <c r="B68" s="1252"/>
      <c r="C68" s="1252"/>
      <c r="D68" s="1253"/>
      <c r="E68" s="452">
        <v>8</v>
      </c>
      <c r="F68" s="453">
        <f>'ANTP_1.3 Frota Total'!E80</f>
        <v>0</v>
      </c>
      <c r="G68" s="453">
        <f>'ANTP_1.3 Frota Total'!F80</f>
        <v>0</v>
      </c>
      <c r="H68" s="453">
        <f>'ANTP_1.3 Frota Total'!G80</f>
        <v>0</v>
      </c>
      <c r="I68" s="454">
        <f>'ANTP_1.3 Frota Total'!H80</f>
        <v>0</v>
      </c>
      <c r="J68" s="472">
        <f>1-SUM('Ref_A.IX.a. Deprec. veículos'!F21:F28)*12</f>
        <v>0.14909090909090894</v>
      </c>
    </row>
    <row r="69" spans="1:10" x14ac:dyDescent="0.25">
      <c r="A69" s="1251"/>
      <c r="B69" s="1252"/>
      <c r="C69" s="1252"/>
      <c r="D69" s="1253"/>
      <c r="E69" s="452">
        <v>9</v>
      </c>
      <c r="F69" s="453">
        <f>'ANTP_1.3 Frota Total'!E81</f>
        <v>0</v>
      </c>
      <c r="G69" s="453">
        <f>'ANTP_1.3 Frota Total'!F81</f>
        <v>0</v>
      </c>
      <c r="H69" s="453">
        <f>'ANTP_1.3 Frota Total'!G81</f>
        <v>0</v>
      </c>
      <c r="I69" s="454">
        <f>'ANTP_1.3 Frota Total'!H81</f>
        <v>0</v>
      </c>
      <c r="J69" s="472">
        <f>1-SUM('Ref_A.IX.a. Deprec. veículos'!F21:F29)*12</f>
        <v>0.11636363636363622</v>
      </c>
    </row>
    <row r="70" spans="1:10" ht="15.75" thickBot="1" x14ac:dyDescent="0.3">
      <c r="A70" s="1275"/>
      <c r="B70" s="1276"/>
      <c r="C70" s="1276"/>
      <c r="D70" s="1277"/>
      <c r="E70" s="457">
        <v>10</v>
      </c>
      <c r="F70" s="458">
        <f>'ANTP_1.3 Frota Total'!E82</f>
        <v>0</v>
      </c>
      <c r="G70" s="458">
        <f>'ANTP_1.3 Frota Total'!F82</f>
        <v>0</v>
      </c>
      <c r="H70" s="458">
        <f>'ANTP_1.3 Frota Total'!G82</f>
        <v>0</v>
      </c>
      <c r="I70" s="459">
        <f>'ANTP_1.3 Frota Total'!H82</f>
        <v>0</v>
      </c>
      <c r="J70" s="473">
        <f>1-SUM('Ref_A.IX.a. Deprec. veículos'!F21:F30)*12</f>
        <v>9.9999999999999867E-2</v>
      </c>
    </row>
    <row r="71" spans="1:10" x14ac:dyDescent="0.25">
      <c r="A71" s="1272" t="s">
        <v>16</v>
      </c>
      <c r="B71" s="1273"/>
      <c r="C71" s="1273"/>
      <c r="D71" s="1274"/>
      <c r="E71" s="448">
        <v>0</v>
      </c>
      <c r="F71" s="449">
        <f>'ANTP_1.3 Frota Total'!E83</f>
        <v>0</v>
      </c>
      <c r="G71" s="449">
        <f>'ANTP_1.3 Frota Total'!F83</f>
        <v>0</v>
      </c>
      <c r="H71" s="449">
        <f>'ANTP_1.3 Frota Total'!G83</f>
        <v>0</v>
      </c>
      <c r="I71" s="461">
        <f>'ANTP_1.3 Frota Total'!H83</f>
        <v>0</v>
      </c>
      <c r="J71" s="451">
        <v>1</v>
      </c>
    </row>
    <row r="72" spans="1:10" x14ac:dyDescent="0.25">
      <c r="A72" s="1251"/>
      <c r="B72" s="1252"/>
      <c r="C72" s="1252"/>
      <c r="D72" s="1253"/>
      <c r="E72" s="452">
        <v>1</v>
      </c>
      <c r="F72" s="453">
        <f>'ANTP_1.3 Frota Total'!E84</f>
        <v>0</v>
      </c>
      <c r="G72" s="453">
        <f>'ANTP_1.3 Frota Total'!F84</f>
        <v>0</v>
      </c>
      <c r="H72" s="453">
        <f>'ANTP_1.3 Frota Total'!G84</f>
        <v>0</v>
      </c>
      <c r="I72" s="462">
        <f>'ANTP_1.3 Frota Total'!H84</f>
        <v>0</v>
      </c>
      <c r="J72" s="455">
        <f>1-'Ref_A.IX.a. Deprec. veículos'!G21*12</f>
        <v>0.85384615384615392</v>
      </c>
    </row>
    <row r="73" spans="1:10" x14ac:dyDescent="0.25">
      <c r="A73" s="1251"/>
      <c r="B73" s="1252"/>
      <c r="C73" s="1252"/>
      <c r="D73" s="1253"/>
      <c r="E73" s="452">
        <v>2</v>
      </c>
      <c r="F73" s="453">
        <f>'ANTP_1.3 Frota Total'!E85</f>
        <v>0</v>
      </c>
      <c r="G73" s="453">
        <f>'ANTP_1.3 Frota Total'!F85</f>
        <v>0</v>
      </c>
      <c r="H73" s="453">
        <f>'ANTP_1.3 Frota Total'!G85</f>
        <v>0</v>
      </c>
      <c r="I73" s="462">
        <f>'ANTP_1.3 Frota Total'!H85</f>
        <v>0</v>
      </c>
      <c r="J73" s="455">
        <f>1-SUM('Ref_A.IX.a. Deprec. veículos'!G21:G22)*12</f>
        <v>0.71987179487179487</v>
      </c>
    </row>
    <row r="74" spans="1:10" x14ac:dyDescent="0.25">
      <c r="A74" s="1251"/>
      <c r="B74" s="1252"/>
      <c r="C74" s="1252"/>
      <c r="D74" s="1253"/>
      <c r="E74" s="452">
        <v>3</v>
      </c>
      <c r="F74" s="453">
        <f>'ANTP_1.3 Frota Total'!E86</f>
        <v>0</v>
      </c>
      <c r="G74" s="453">
        <f>'ANTP_1.3 Frota Total'!F86</f>
        <v>0</v>
      </c>
      <c r="H74" s="453">
        <f>'ANTP_1.3 Frota Total'!G86</f>
        <v>0</v>
      </c>
      <c r="I74" s="462">
        <f>'ANTP_1.3 Frota Total'!H86</f>
        <v>0</v>
      </c>
      <c r="J74" s="455">
        <f>1-SUM('Ref_A.IX.a. Deprec. veículos'!G21:G23)*12</f>
        <v>0.59807692307692306</v>
      </c>
    </row>
    <row r="75" spans="1:10" x14ac:dyDescent="0.25">
      <c r="A75" s="1251"/>
      <c r="B75" s="1252"/>
      <c r="C75" s="1252"/>
      <c r="D75" s="1253"/>
      <c r="E75" s="452">
        <v>4</v>
      </c>
      <c r="F75" s="453">
        <f>'ANTP_1.3 Frota Total'!E87</f>
        <v>0</v>
      </c>
      <c r="G75" s="453">
        <f>'ANTP_1.3 Frota Total'!F87</f>
        <v>0</v>
      </c>
      <c r="H75" s="453">
        <f>'ANTP_1.3 Frota Total'!G87</f>
        <v>0</v>
      </c>
      <c r="I75" s="462">
        <f>'ANTP_1.3 Frota Total'!H87</f>
        <v>0</v>
      </c>
      <c r="J75" s="455">
        <f>1-SUM('Ref_A.IX.a. Deprec. veículos'!G21:G24)*12</f>
        <v>0.4884615384615385</v>
      </c>
    </row>
    <row r="76" spans="1:10" x14ac:dyDescent="0.25">
      <c r="A76" s="1251"/>
      <c r="B76" s="1252"/>
      <c r="C76" s="1252"/>
      <c r="D76" s="1253"/>
      <c r="E76" s="452">
        <v>5</v>
      </c>
      <c r="F76" s="453">
        <f>'ANTP_1.3 Frota Total'!E88</f>
        <v>0</v>
      </c>
      <c r="G76" s="453">
        <f>'ANTP_1.3 Frota Total'!F88</f>
        <v>0</v>
      </c>
      <c r="H76" s="453">
        <f>'ANTP_1.3 Frota Total'!G88</f>
        <v>0</v>
      </c>
      <c r="I76" s="462">
        <f>'ANTP_1.3 Frota Total'!H88</f>
        <v>0</v>
      </c>
      <c r="J76" s="455">
        <f>1-SUM('Ref_A.IX.a. Deprec. veículos'!G21:G25)*12</f>
        <v>0.39102564102564097</v>
      </c>
    </row>
    <row r="77" spans="1:10" x14ac:dyDescent="0.25">
      <c r="A77" s="1251"/>
      <c r="B77" s="1252"/>
      <c r="C77" s="1252"/>
      <c r="D77" s="1253"/>
      <c r="E77" s="452">
        <v>6</v>
      </c>
      <c r="F77" s="453">
        <f>'ANTP_1.3 Frota Total'!E89</f>
        <v>0</v>
      </c>
      <c r="G77" s="453">
        <f>'ANTP_1.3 Frota Total'!F89</f>
        <v>0</v>
      </c>
      <c r="H77" s="453">
        <f>'ANTP_1.3 Frota Total'!G89</f>
        <v>0</v>
      </c>
      <c r="I77" s="462">
        <f>'ANTP_1.3 Frota Total'!H89</f>
        <v>0</v>
      </c>
      <c r="J77" s="455">
        <f>1-SUM('Ref_A.IX.a. Deprec. veículos'!G21:G26)*12</f>
        <v>0.30576923076923079</v>
      </c>
    </row>
    <row r="78" spans="1:10" x14ac:dyDescent="0.25">
      <c r="A78" s="1251"/>
      <c r="B78" s="1252"/>
      <c r="C78" s="1252"/>
      <c r="D78" s="1253"/>
      <c r="E78" s="452">
        <v>7</v>
      </c>
      <c r="F78" s="453">
        <f>'ANTP_1.3 Frota Total'!E90</f>
        <v>0</v>
      </c>
      <c r="G78" s="453">
        <f>'ANTP_1.3 Frota Total'!F90</f>
        <v>0</v>
      </c>
      <c r="H78" s="453">
        <f>'ANTP_1.3 Frota Total'!G90</f>
        <v>0</v>
      </c>
      <c r="I78" s="462">
        <f>'ANTP_1.3 Frota Total'!H90</f>
        <v>0</v>
      </c>
      <c r="J78" s="455">
        <f>1-SUM('Ref_A.IX.a. Deprec. veículos'!G21:G27)*12</f>
        <v>0.23269230769230775</v>
      </c>
    </row>
    <row r="79" spans="1:10" x14ac:dyDescent="0.25">
      <c r="A79" s="1251"/>
      <c r="B79" s="1252"/>
      <c r="C79" s="1252"/>
      <c r="D79" s="1253"/>
      <c r="E79" s="452">
        <v>8</v>
      </c>
      <c r="F79" s="453">
        <f>'ANTP_1.3 Frota Total'!E91</f>
        <v>0</v>
      </c>
      <c r="G79" s="453">
        <f>'ANTP_1.3 Frota Total'!F91</f>
        <v>0</v>
      </c>
      <c r="H79" s="453">
        <f>'ANTP_1.3 Frota Total'!G91</f>
        <v>0</v>
      </c>
      <c r="I79" s="462">
        <f>'ANTP_1.3 Frota Total'!H91</f>
        <v>0</v>
      </c>
      <c r="J79" s="455">
        <f>1-SUM('Ref_A.IX.a. Deprec. veículos'!G21:G28)*12</f>
        <v>0.17179487179487185</v>
      </c>
    </row>
    <row r="80" spans="1:10" x14ac:dyDescent="0.25">
      <c r="A80" s="1251"/>
      <c r="B80" s="1252"/>
      <c r="C80" s="1252"/>
      <c r="D80" s="1253"/>
      <c r="E80" s="452">
        <v>9</v>
      </c>
      <c r="F80" s="453">
        <f>'ANTP_1.3 Frota Total'!E92</f>
        <v>0</v>
      </c>
      <c r="G80" s="453">
        <f>'ANTP_1.3 Frota Total'!F92</f>
        <v>0</v>
      </c>
      <c r="H80" s="453">
        <f>'ANTP_1.3 Frota Total'!G92</f>
        <v>0</v>
      </c>
      <c r="I80" s="462">
        <f>'ANTP_1.3 Frota Total'!H92</f>
        <v>0</v>
      </c>
      <c r="J80" s="455">
        <f>1-SUM('Ref_A.IX.a. Deprec. veículos'!G21:G29)*12</f>
        <v>0.12307692307692319</v>
      </c>
    </row>
    <row r="81" spans="1:10" x14ac:dyDescent="0.25">
      <c r="A81" s="1251"/>
      <c r="B81" s="1252"/>
      <c r="C81" s="1252"/>
      <c r="D81" s="1253"/>
      <c r="E81" s="452">
        <v>10</v>
      </c>
      <c r="F81" s="453">
        <f>'ANTP_1.3 Frota Total'!E93</f>
        <v>0</v>
      </c>
      <c r="G81" s="453">
        <f>'ANTP_1.3 Frota Total'!F93</f>
        <v>0</v>
      </c>
      <c r="H81" s="453">
        <f>'ANTP_1.3 Frota Total'!G93</f>
        <v>0</v>
      </c>
      <c r="I81" s="462">
        <f>'ANTP_1.3 Frota Total'!H93</f>
        <v>0</v>
      </c>
      <c r="J81" s="455">
        <f>1-SUM('Ref_A.IX.a. Deprec. veículos'!G21:G30)*12</f>
        <v>8.6538461538461675E-2</v>
      </c>
    </row>
    <row r="82" spans="1:10" x14ac:dyDescent="0.25">
      <c r="A82" s="1251"/>
      <c r="B82" s="1252"/>
      <c r="C82" s="1252"/>
      <c r="D82" s="1253"/>
      <c r="E82" s="452">
        <v>11</v>
      </c>
      <c r="F82" s="453">
        <f>'ANTP_1.3 Frota Total'!E94</f>
        <v>0</v>
      </c>
      <c r="G82" s="453">
        <f>'ANTP_1.3 Frota Total'!F94</f>
        <v>0</v>
      </c>
      <c r="H82" s="453">
        <f>'ANTP_1.3 Frota Total'!G94</f>
        <v>0</v>
      </c>
      <c r="I82" s="462">
        <f>'ANTP_1.3 Frota Total'!H94</f>
        <v>0</v>
      </c>
      <c r="J82" s="455">
        <f>1-SUM('Ref_A.IX.a. Deprec. veículos'!G21:G31)*12</f>
        <v>6.2179487179487181E-2</v>
      </c>
    </row>
    <row r="83" spans="1:10" ht="15.75" thickBot="1" x14ac:dyDescent="0.3">
      <c r="A83" s="1251"/>
      <c r="B83" s="1252"/>
      <c r="C83" s="1252"/>
      <c r="D83" s="1253"/>
      <c r="E83" s="468">
        <v>12</v>
      </c>
      <c r="F83" s="474">
        <f>'ANTP_1.3 Frota Total'!E95</f>
        <v>0</v>
      </c>
      <c r="G83" s="474">
        <f>'ANTP_1.3 Frota Total'!F95</f>
        <v>0</v>
      </c>
      <c r="H83" s="474">
        <f>'ANTP_1.3 Frota Total'!G95</f>
        <v>0</v>
      </c>
      <c r="I83" s="475">
        <f>'ANTP_1.3 Frota Total'!H95</f>
        <v>0</v>
      </c>
      <c r="J83" s="476">
        <f>1-SUM('Ref_A.IX.a. Deprec. veículos'!G21:G32)*12</f>
        <v>5.0000000000000044E-2</v>
      </c>
    </row>
    <row r="84" spans="1:10" x14ac:dyDescent="0.25">
      <c r="A84" s="1272" t="s">
        <v>17</v>
      </c>
      <c r="B84" s="1273"/>
      <c r="C84" s="1273"/>
      <c r="D84" s="1273"/>
      <c r="E84" s="448">
        <v>0</v>
      </c>
      <c r="F84" s="449">
        <f>'ANTP_1.3 Frota Total'!E96</f>
        <v>0</v>
      </c>
      <c r="G84" s="449">
        <f>'ANTP_1.3 Frota Total'!F96</f>
        <v>0</v>
      </c>
      <c r="H84" s="449">
        <f>'ANTP_1.3 Frota Total'!G96</f>
        <v>0</v>
      </c>
      <c r="I84" s="450">
        <f>'ANTP_1.3 Frota Total'!H96</f>
        <v>0</v>
      </c>
      <c r="J84" s="451">
        <v>1</v>
      </c>
    </row>
    <row r="85" spans="1:10" x14ac:dyDescent="0.25">
      <c r="A85" s="1251"/>
      <c r="B85" s="1252"/>
      <c r="C85" s="1252"/>
      <c r="D85" s="1252"/>
      <c r="E85" s="452">
        <v>1</v>
      </c>
      <c r="F85" s="453">
        <f>'ANTP_1.3 Frota Total'!E97</f>
        <v>0</v>
      </c>
      <c r="G85" s="453">
        <f>'ANTP_1.3 Frota Total'!F97</f>
        <v>0</v>
      </c>
      <c r="H85" s="453">
        <f>'ANTP_1.3 Frota Total'!G97</f>
        <v>0</v>
      </c>
      <c r="I85" s="454">
        <f>'ANTP_1.3 Frota Total'!H97</f>
        <v>0</v>
      </c>
      <c r="J85" s="455">
        <f>1-'Ref_A.IX.a. Deprec. veículos'!G21*12</f>
        <v>0.85384615384615392</v>
      </c>
    </row>
    <row r="86" spans="1:10" x14ac:dyDescent="0.25">
      <c r="A86" s="1251"/>
      <c r="B86" s="1252"/>
      <c r="C86" s="1252"/>
      <c r="D86" s="1252"/>
      <c r="E86" s="452">
        <v>2</v>
      </c>
      <c r="F86" s="453">
        <f>'ANTP_1.3 Frota Total'!E98</f>
        <v>0</v>
      </c>
      <c r="G86" s="453">
        <f>'ANTP_1.3 Frota Total'!F98</f>
        <v>0</v>
      </c>
      <c r="H86" s="453">
        <f>'ANTP_1.3 Frota Total'!G98</f>
        <v>0</v>
      </c>
      <c r="I86" s="454">
        <f>'ANTP_1.3 Frota Total'!H98</f>
        <v>0</v>
      </c>
      <c r="J86" s="455">
        <f>1-SUM('Ref_A.IX.a. Deprec. veículos'!G21:G22)*12</f>
        <v>0.71987179487179487</v>
      </c>
    </row>
    <row r="87" spans="1:10" x14ac:dyDescent="0.25">
      <c r="A87" s="1251"/>
      <c r="B87" s="1252"/>
      <c r="C87" s="1252"/>
      <c r="D87" s="1252"/>
      <c r="E87" s="452">
        <v>3</v>
      </c>
      <c r="F87" s="453">
        <f>'ANTP_1.3 Frota Total'!E99</f>
        <v>0</v>
      </c>
      <c r="G87" s="453">
        <f>'ANTP_1.3 Frota Total'!F99</f>
        <v>0</v>
      </c>
      <c r="H87" s="453">
        <f>'ANTP_1.3 Frota Total'!G99</f>
        <v>0</v>
      </c>
      <c r="I87" s="454">
        <f>'ANTP_1.3 Frota Total'!H99</f>
        <v>0</v>
      </c>
      <c r="J87" s="455">
        <f>1-SUM('Ref_A.IX.a. Deprec. veículos'!G21:G23)*12</f>
        <v>0.59807692307692306</v>
      </c>
    </row>
    <row r="88" spans="1:10" x14ac:dyDescent="0.25">
      <c r="A88" s="1251"/>
      <c r="B88" s="1252"/>
      <c r="C88" s="1252"/>
      <c r="D88" s="1252"/>
      <c r="E88" s="452">
        <v>4</v>
      </c>
      <c r="F88" s="453">
        <f>'ANTP_1.3 Frota Total'!E100</f>
        <v>0</v>
      </c>
      <c r="G88" s="453">
        <f>'ANTP_1.3 Frota Total'!F100</f>
        <v>0</v>
      </c>
      <c r="H88" s="453">
        <f>'ANTP_1.3 Frota Total'!G100</f>
        <v>0</v>
      </c>
      <c r="I88" s="454">
        <f>'ANTP_1.3 Frota Total'!H100</f>
        <v>0</v>
      </c>
      <c r="J88" s="455">
        <f>1-SUM('Ref_A.IX.a. Deprec. veículos'!G21:G24)*12</f>
        <v>0.4884615384615385</v>
      </c>
    </row>
    <row r="89" spans="1:10" x14ac:dyDescent="0.25">
      <c r="A89" s="1251"/>
      <c r="B89" s="1252"/>
      <c r="C89" s="1252"/>
      <c r="D89" s="1252"/>
      <c r="E89" s="452">
        <v>5</v>
      </c>
      <c r="F89" s="453">
        <f>'ANTP_1.3 Frota Total'!E101</f>
        <v>0</v>
      </c>
      <c r="G89" s="453">
        <f>'ANTP_1.3 Frota Total'!F101</f>
        <v>0</v>
      </c>
      <c r="H89" s="453">
        <f>'ANTP_1.3 Frota Total'!G101</f>
        <v>0</v>
      </c>
      <c r="I89" s="454">
        <f>'ANTP_1.3 Frota Total'!H101</f>
        <v>0</v>
      </c>
      <c r="J89" s="455">
        <f>1-SUM('Ref_A.IX.a. Deprec. veículos'!G21:G25)*12</f>
        <v>0.39102564102564097</v>
      </c>
    </row>
    <row r="90" spans="1:10" x14ac:dyDescent="0.25">
      <c r="A90" s="1251"/>
      <c r="B90" s="1252"/>
      <c r="C90" s="1252"/>
      <c r="D90" s="1252"/>
      <c r="E90" s="452">
        <v>6</v>
      </c>
      <c r="F90" s="453">
        <f>'ANTP_1.3 Frota Total'!E102</f>
        <v>0</v>
      </c>
      <c r="G90" s="453">
        <f>'ANTP_1.3 Frota Total'!F102</f>
        <v>0</v>
      </c>
      <c r="H90" s="453">
        <f>'ANTP_1.3 Frota Total'!G102</f>
        <v>0</v>
      </c>
      <c r="I90" s="454">
        <f>'ANTP_1.3 Frota Total'!H102</f>
        <v>0</v>
      </c>
      <c r="J90" s="455">
        <f>1-SUM('Ref_A.IX.a. Deprec. veículos'!G21:G26)*12</f>
        <v>0.30576923076923079</v>
      </c>
    </row>
    <row r="91" spans="1:10" x14ac:dyDescent="0.25">
      <c r="A91" s="1251"/>
      <c r="B91" s="1252"/>
      <c r="C91" s="1252"/>
      <c r="D91" s="1252"/>
      <c r="E91" s="452">
        <v>7</v>
      </c>
      <c r="F91" s="453">
        <f>'ANTP_1.3 Frota Total'!E103</f>
        <v>0</v>
      </c>
      <c r="G91" s="453">
        <f>'ANTP_1.3 Frota Total'!F103</f>
        <v>0</v>
      </c>
      <c r="H91" s="453">
        <f>'ANTP_1.3 Frota Total'!G103</f>
        <v>0</v>
      </c>
      <c r="I91" s="454">
        <f>'ANTP_1.3 Frota Total'!H103</f>
        <v>0</v>
      </c>
      <c r="J91" s="455">
        <f>1-SUM('Ref_A.IX.a. Deprec. veículos'!G21:G27)*12</f>
        <v>0.23269230769230775</v>
      </c>
    </row>
    <row r="92" spans="1:10" x14ac:dyDescent="0.25">
      <c r="A92" s="1251"/>
      <c r="B92" s="1252"/>
      <c r="C92" s="1252"/>
      <c r="D92" s="1252"/>
      <c r="E92" s="452">
        <v>8</v>
      </c>
      <c r="F92" s="453">
        <f>'ANTP_1.3 Frota Total'!E104</f>
        <v>0</v>
      </c>
      <c r="G92" s="453">
        <f>'ANTP_1.3 Frota Total'!F104</f>
        <v>0</v>
      </c>
      <c r="H92" s="453">
        <f>'ANTP_1.3 Frota Total'!G104</f>
        <v>0</v>
      </c>
      <c r="I92" s="454">
        <f>'ANTP_1.3 Frota Total'!H104</f>
        <v>0</v>
      </c>
      <c r="J92" s="455">
        <f>1-SUM('Ref_A.IX.a. Deprec. veículos'!G21:G28)*12</f>
        <v>0.17179487179487185</v>
      </c>
    </row>
    <row r="93" spans="1:10" x14ac:dyDescent="0.25">
      <c r="A93" s="1251"/>
      <c r="B93" s="1252"/>
      <c r="C93" s="1252"/>
      <c r="D93" s="1252"/>
      <c r="E93" s="452">
        <v>9</v>
      </c>
      <c r="F93" s="453">
        <f>'ANTP_1.3 Frota Total'!E105</f>
        <v>0</v>
      </c>
      <c r="G93" s="453">
        <f>'ANTP_1.3 Frota Total'!F105</f>
        <v>0</v>
      </c>
      <c r="H93" s="453">
        <f>'ANTP_1.3 Frota Total'!G105</f>
        <v>0</v>
      </c>
      <c r="I93" s="454">
        <f>'ANTP_1.3 Frota Total'!H105</f>
        <v>0</v>
      </c>
      <c r="J93" s="455">
        <f>1-SUM('Ref_A.IX.a. Deprec. veículos'!G21:G29)*12</f>
        <v>0.12307692307692319</v>
      </c>
    </row>
    <row r="94" spans="1:10" x14ac:dyDescent="0.25">
      <c r="A94" s="1251"/>
      <c r="B94" s="1252"/>
      <c r="C94" s="1252"/>
      <c r="D94" s="1252"/>
      <c r="E94" s="452">
        <v>10</v>
      </c>
      <c r="F94" s="453">
        <f>'ANTP_1.3 Frota Total'!E106</f>
        <v>0</v>
      </c>
      <c r="G94" s="453">
        <f>'ANTP_1.3 Frota Total'!F106</f>
        <v>0</v>
      </c>
      <c r="H94" s="453">
        <f>'ANTP_1.3 Frota Total'!G106</f>
        <v>0</v>
      </c>
      <c r="I94" s="454">
        <f>'ANTP_1.3 Frota Total'!H106</f>
        <v>0</v>
      </c>
      <c r="J94" s="455">
        <f>1-SUM('Ref_A.IX.a. Deprec. veículos'!G21:G30)*12</f>
        <v>8.6538461538461675E-2</v>
      </c>
    </row>
    <row r="95" spans="1:10" x14ac:dyDescent="0.25">
      <c r="A95" s="1251"/>
      <c r="B95" s="1252"/>
      <c r="C95" s="1252"/>
      <c r="D95" s="1252"/>
      <c r="E95" s="452">
        <v>11</v>
      </c>
      <c r="F95" s="453">
        <f>'ANTP_1.3 Frota Total'!E107</f>
        <v>0</v>
      </c>
      <c r="G95" s="453">
        <f>'ANTP_1.3 Frota Total'!F107</f>
        <v>0</v>
      </c>
      <c r="H95" s="453">
        <f>'ANTP_1.3 Frota Total'!G107</f>
        <v>0</v>
      </c>
      <c r="I95" s="454">
        <f>'ANTP_1.3 Frota Total'!H107</f>
        <v>0</v>
      </c>
      <c r="J95" s="455">
        <f>1-SUM('Ref_A.IX.a. Deprec. veículos'!G21:G31)*12</f>
        <v>6.2179487179487181E-2</v>
      </c>
    </row>
    <row r="96" spans="1:10" ht="15.75" thickBot="1" x14ac:dyDescent="0.3">
      <c r="A96" s="1275"/>
      <c r="B96" s="1276"/>
      <c r="C96" s="1276"/>
      <c r="D96" s="1276"/>
      <c r="E96" s="457">
        <v>12</v>
      </c>
      <c r="F96" s="453">
        <f>'ANTP_1.3 Frota Total'!E108</f>
        <v>0</v>
      </c>
      <c r="G96" s="453">
        <f>'ANTP_1.3 Frota Total'!F108</f>
        <v>0</v>
      </c>
      <c r="H96" s="453">
        <f>'ANTP_1.3 Frota Total'!G108</f>
        <v>0</v>
      </c>
      <c r="I96" s="454">
        <f>'ANTP_1.3 Frota Total'!H108</f>
        <v>0</v>
      </c>
      <c r="J96" s="460">
        <f>1-SUM('Ref_A.IX.a. Deprec. veículos'!G21:G32)*12</f>
        <v>5.0000000000000044E-2</v>
      </c>
    </row>
    <row r="99" spans="1:10" x14ac:dyDescent="0.25">
      <c r="A99" s="14" t="s">
        <v>694</v>
      </c>
      <c r="B99" s="61" t="s">
        <v>142</v>
      </c>
    </row>
    <row r="100" spans="1:10" x14ac:dyDescent="0.25">
      <c r="A100" s="1121" t="s">
        <v>8</v>
      </c>
      <c r="B100" s="1121"/>
      <c r="C100" s="1121"/>
      <c r="D100" s="1121"/>
      <c r="E100" s="1254" t="s">
        <v>115</v>
      </c>
      <c r="F100" s="1249" t="s">
        <v>6</v>
      </c>
      <c r="G100" s="1250"/>
      <c r="H100" s="1249" t="s">
        <v>7</v>
      </c>
      <c r="I100" s="1250"/>
      <c r="J100" s="60"/>
    </row>
    <row r="101" spans="1:10" ht="15.75" thickBot="1" x14ac:dyDescent="0.3">
      <c r="A101" s="1121"/>
      <c r="B101" s="1121"/>
      <c r="C101" s="1121"/>
      <c r="D101" s="1121"/>
      <c r="E101" s="1286"/>
      <c r="F101" s="294" t="s">
        <v>9</v>
      </c>
      <c r="G101" s="294" t="s">
        <v>10</v>
      </c>
      <c r="H101" s="294" t="s">
        <v>9</v>
      </c>
      <c r="I101" s="294" t="s">
        <v>10</v>
      </c>
      <c r="J101" s="60"/>
    </row>
    <row r="102" spans="1:10" x14ac:dyDescent="0.25">
      <c r="A102" s="1213" t="s">
        <v>124</v>
      </c>
      <c r="B102" s="1214"/>
      <c r="C102" s="1214"/>
      <c r="D102" s="1215"/>
      <c r="E102" s="477">
        <v>0</v>
      </c>
      <c r="F102" s="478">
        <f t="shared" ref="F102:I112" si="0">F21*$J21</f>
        <v>0</v>
      </c>
      <c r="G102" s="478">
        <f t="shared" si="0"/>
        <v>0</v>
      </c>
      <c r="H102" s="478">
        <f t="shared" si="0"/>
        <v>0</v>
      </c>
      <c r="I102" s="479">
        <f t="shared" si="0"/>
        <v>0</v>
      </c>
      <c r="J102" s="60"/>
    </row>
    <row r="103" spans="1:10" x14ac:dyDescent="0.25">
      <c r="A103" s="1216"/>
      <c r="B103" s="1217"/>
      <c r="C103" s="1217"/>
      <c r="D103" s="1218"/>
      <c r="E103" s="480">
        <v>1</v>
      </c>
      <c r="F103" s="481">
        <f t="shared" si="0"/>
        <v>0</v>
      </c>
      <c r="G103" s="481">
        <f t="shared" si="0"/>
        <v>0</v>
      </c>
      <c r="H103" s="481">
        <f t="shared" si="0"/>
        <v>0</v>
      </c>
      <c r="I103" s="482">
        <f t="shared" si="0"/>
        <v>0</v>
      </c>
      <c r="J103" s="60"/>
    </row>
    <row r="104" spans="1:10" x14ac:dyDescent="0.25">
      <c r="A104" s="1216"/>
      <c r="B104" s="1217"/>
      <c r="C104" s="1217"/>
      <c r="D104" s="1218"/>
      <c r="E104" s="480">
        <v>2</v>
      </c>
      <c r="F104" s="481">
        <f t="shared" si="0"/>
        <v>0</v>
      </c>
      <c r="G104" s="481">
        <f t="shared" si="0"/>
        <v>0</v>
      </c>
      <c r="H104" s="481">
        <f t="shared" si="0"/>
        <v>0</v>
      </c>
      <c r="I104" s="482">
        <f t="shared" si="0"/>
        <v>0</v>
      </c>
      <c r="J104" s="60"/>
    </row>
    <row r="105" spans="1:10" x14ac:dyDescent="0.25">
      <c r="A105" s="1216"/>
      <c r="B105" s="1217"/>
      <c r="C105" s="1217"/>
      <c r="D105" s="1218"/>
      <c r="E105" s="480">
        <v>3</v>
      </c>
      <c r="F105" s="481">
        <f t="shared" si="0"/>
        <v>0</v>
      </c>
      <c r="G105" s="481">
        <f t="shared" si="0"/>
        <v>0</v>
      </c>
      <c r="H105" s="481">
        <f t="shared" si="0"/>
        <v>0</v>
      </c>
      <c r="I105" s="482">
        <f t="shared" si="0"/>
        <v>0</v>
      </c>
      <c r="J105" s="60"/>
    </row>
    <row r="106" spans="1:10" x14ac:dyDescent="0.25">
      <c r="A106" s="1216"/>
      <c r="B106" s="1217"/>
      <c r="C106" s="1217"/>
      <c r="D106" s="1218"/>
      <c r="E106" s="480">
        <v>4</v>
      </c>
      <c r="F106" s="481">
        <f t="shared" si="0"/>
        <v>0</v>
      </c>
      <c r="G106" s="481">
        <f t="shared" si="0"/>
        <v>0</v>
      </c>
      <c r="H106" s="481">
        <f t="shared" si="0"/>
        <v>0</v>
      </c>
      <c r="I106" s="482">
        <f t="shared" si="0"/>
        <v>0</v>
      </c>
      <c r="J106" s="60"/>
    </row>
    <row r="107" spans="1:10" ht="15.75" thickBot="1" x14ac:dyDescent="0.3">
      <c r="A107" s="1219"/>
      <c r="B107" s="1220"/>
      <c r="C107" s="1220"/>
      <c r="D107" s="1221"/>
      <c r="E107" s="483">
        <v>5</v>
      </c>
      <c r="F107" s="484">
        <f t="shared" si="0"/>
        <v>0</v>
      </c>
      <c r="G107" s="484">
        <f t="shared" si="0"/>
        <v>0</v>
      </c>
      <c r="H107" s="484">
        <f t="shared" si="0"/>
        <v>0</v>
      </c>
      <c r="I107" s="485">
        <f t="shared" si="0"/>
        <v>0</v>
      </c>
      <c r="J107" s="60"/>
    </row>
    <row r="108" spans="1:10" x14ac:dyDescent="0.25">
      <c r="A108" s="1213" t="s">
        <v>12</v>
      </c>
      <c r="B108" s="1214"/>
      <c r="C108" s="1214"/>
      <c r="D108" s="1215"/>
      <c r="E108" s="477">
        <v>0</v>
      </c>
      <c r="F108" s="478">
        <f t="shared" si="0"/>
        <v>0</v>
      </c>
      <c r="G108" s="478">
        <f t="shared" si="0"/>
        <v>0</v>
      </c>
      <c r="H108" s="478">
        <f t="shared" si="0"/>
        <v>0</v>
      </c>
      <c r="I108" s="479">
        <f t="shared" si="0"/>
        <v>0</v>
      </c>
      <c r="J108" s="60"/>
    </row>
    <row r="109" spans="1:10" x14ac:dyDescent="0.25">
      <c r="A109" s="1216"/>
      <c r="B109" s="1217"/>
      <c r="C109" s="1217"/>
      <c r="D109" s="1218"/>
      <c r="E109" s="480">
        <v>1</v>
      </c>
      <c r="F109" s="481">
        <f t="shared" si="0"/>
        <v>0</v>
      </c>
      <c r="G109" s="481">
        <f t="shared" si="0"/>
        <v>0</v>
      </c>
      <c r="H109" s="481">
        <f t="shared" si="0"/>
        <v>0</v>
      </c>
      <c r="I109" s="482">
        <f t="shared" si="0"/>
        <v>0</v>
      </c>
      <c r="J109" s="60"/>
    </row>
    <row r="110" spans="1:10" x14ac:dyDescent="0.25">
      <c r="A110" s="1216"/>
      <c r="B110" s="1217"/>
      <c r="C110" s="1217"/>
      <c r="D110" s="1218"/>
      <c r="E110" s="480">
        <v>2</v>
      </c>
      <c r="F110" s="481">
        <f t="shared" si="0"/>
        <v>0</v>
      </c>
      <c r="G110" s="481">
        <f t="shared" si="0"/>
        <v>0</v>
      </c>
      <c r="H110" s="481">
        <f t="shared" si="0"/>
        <v>0</v>
      </c>
      <c r="I110" s="482">
        <f t="shared" si="0"/>
        <v>0</v>
      </c>
      <c r="J110" s="60"/>
    </row>
    <row r="111" spans="1:10" x14ac:dyDescent="0.25">
      <c r="A111" s="1216"/>
      <c r="B111" s="1217"/>
      <c r="C111" s="1217"/>
      <c r="D111" s="1218"/>
      <c r="E111" s="480">
        <v>3</v>
      </c>
      <c r="F111" s="481">
        <f t="shared" si="0"/>
        <v>0</v>
      </c>
      <c r="G111" s="481">
        <f t="shared" si="0"/>
        <v>0</v>
      </c>
      <c r="H111" s="481">
        <f t="shared" si="0"/>
        <v>0</v>
      </c>
      <c r="I111" s="482">
        <f t="shared" si="0"/>
        <v>0</v>
      </c>
      <c r="J111" s="60"/>
    </row>
    <row r="112" spans="1:10" x14ac:dyDescent="0.25">
      <c r="A112" s="1216"/>
      <c r="B112" s="1217"/>
      <c r="C112" s="1217"/>
      <c r="D112" s="1218"/>
      <c r="E112" s="480">
        <v>4</v>
      </c>
      <c r="F112" s="481">
        <f t="shared" si="0"/>
        <v>0</v>
      </c>
      <c r="G112" s="481">
        <f t="shared" si="0"/>
        <v>0</v>
      </c>
      <c r="H112" s="481">
        <f t="shared" si="0"/>
        <v>0</v>
      </c>
      <c r="I112" s="482">
        <f t="shared" si="0"/>
        <v>0</v>
      </c>
      <c r="J112" s="60"/>
    </row>
    <row r="113" spans="1:10" x14ac:dyDescent="0.25">
      <c r="A113" s="1216"/>
      <c r="B113" s="1217"/>
      <c r="C113" s="1217"/>
      <c r="D113" s="1218"/>
      <c r="E113" s="480">
        <v>5</v>
      </c>
      <c r="F113" s="481">
        <f t="shared" ref="F113:I113" si="1">F32*$J32</f>
        <v>0</v>
      </c>
      <c r="G113" s="481">
        <f t="shared" si="1"/>
        <v>0</v>
      </c>
      <c r="H113" s="481">
        <f t="shared" si="1"/>
        <v>0</v>
      </c>
      <c r="I113" s="482">
        <f t="shared" si="1"/>
        <v>0</v>
      </c>
      <c r="J113" s="60"/>
    </row>
    <row r="114" spans="1:10" x14ac:dyDescent="0.25">
      <c r="A114" s="1216"/>
      <c r="B114" s="1217"/>
      <c r="C114" s="1217"/>
      <c r="D114" s="1218"/>
      <c r="E114" s="480">
        <v>6</v>
      </c>
      <c r="F114" s="481">
        <f t="shared" ref="F114:I114" si="2">F33*$J33</f>
        <v>0</v>
      </c>
      <c r="G114" s="481">
        <f t="shared" si="2"/>
        <v>0</v>
      </c>
      <c r="H114" s="481">
        <f t="shared" si="2"/>
        <v>0</v>
      </c>
      <c r="I114" s="482">
        <f t="shared" si="2"/>
        <v>0</v>
      </c>
      <c r="J114" s="60"/>
    </row>
    <row r="115" spans="1:10" x14ac:dyDescent="0.25">
      <c r="A115" s="1216"/>
      <c r="B115" s="1217"/>
      <c r="C115" s="1217"/>
      <c r="D115" s="1218"/>
      <c r="E115" s="480">
        <v>7</v>
      </c>
      <c r="F115" s="481">
        <f t="shared" ref="F115:I115" si="3">F34*$J34</f>
        <v>0</v>
      </c>
      <c r="G115" s="481">
        <f t="shared" si="3"/>
        <v>0</v>
      </c>
      <c r="H115" s="481">
        <f t="shared" si="3"/>
        <v>0</v>
      </c>
      <c r="I115" s="482">
        <f t="shared" si="3"/>
        <v>0</v>
      </c>
      <c r="J115" s="60"/>
    </row>
    <row r="116" spans="1:10" x14ac:dyDescent="0.25">
      <c r="A116" s="1216"/>
      <c r="B116" s="1217"/>
      <c r="C116" s="1217"/>
      <c r="D116" s="1218"/>
      <c r="E116" s="480">
        <v>8</v>
      </c>
      <c r="F116" s="481">
        <f t="shared" ref="F116:I116" si="4">F35*$J35</f>
        <v>0</v>
      </c>
      <c r="G116" s="481">
        <f t="shared" si="4"/>
        <v>0</v>
      </c>
      <c r="H116" s="481">
        <f t="shared" si="4"/>
        <v>0</v>
      </c>
      <c r="I116" s="482">
        <f t="shared" si="4"/>
        <v>0</v>
      </c>
      <c r="J116" s="60"/>
    </row>
    <row r="117" spans="1:10" x14ac:dyDescent="0.25">
      <c r="A117" s="1216"/>
      <c r="B117" s="1217"/>
      <c r="C117" s="1217"/>
      <c r="D117" s="1218"/>
      <c r="E117" s="480">
        <v>9</v>
      </c>
      <c r="F117" s="481">
        <f t="shared" ref="F117:I117" si="5">F36*$J36</f>
        <v>0</v>
      </c>
      <c r="G117" s="481">
        <f t="shared" si="5"/>
        <v>0</v>
      </c>
      <c r="H117" s="481">
        <f t="shared" si="5"/>
        <v>0</v>
      </c>
      <c r="I117" s="482">
        <f t="shared" si="5"/>
        <v>0</v>
      </c>
      <c r="J117" s="60"/>
    </row>
    <row r="118" spans="1:10" ht="15.75" thickBot="1" x14ac:dyDescent="0.3">
      <c r="A118" s="1219"/>
      <c r="B118" s="1220"/>
      <c r="C118" s="1220"/>
      <c r="D118" s="1221"/>
      <c r="E118" s="480">
        <v>10</v>
      </c>
      <c r="F118" s="481">
        <f>F37*$J37</f>
        <v>0</v>
      </c>
      <c r="G118" s="481">
        <f t="shared" ref="G118:I118" si="6">G37*$J37</f>
        <v>0</v>
      </c>
      <c r="H118" s="481">
        <f t="shared" si="6"/>
        <v>0</v>
      </c>
      <c r="I118" s="482">
        <f t="shared" si="6"/>
        <v>0</v>
      </c>
      <c r="J118" s="60"/>
    </row>
    <row r="119" spans="1:10" x14ac:dyDescent="0.25">
      <c r="A119" s="1216" t="s">
        <v>13</v>
      </c>
      <c r="B119" s="1217"/>
      <c r="C119" s="1217"/>
      <c r="D119" s="1218"/>
      <c r="E119" s="477">
        <v>0</v>
      </c>
      <c r="F119" s="478">
        <f t="shared" ref="F119:I126" si="7">F38*$J38</f>
        <v>0</v>
      </c>
      <c r="G119" s="478">
        <f t="shared" si="7"/>
        <v>0</v>
      </c>
      <c r="H119" s="478">
        <f t="shared" si="7"/>
        <v>0</v>
      </c>
      <c r="I119" s="479">
        <f t="shared" si="7"/>
        <v>0</v>
      </c>
      <c r="J119" s="60"/>
    </row>
    <row r="120" spans="1:10" x14ac:dyDescent="0.25">
      <c r="A120" s="1216"/>
      <c r="B120" s="1217"/>
      <c r="C120" s="1217"/>
      <c r="D120" s="1218"/>
      <c r="E120" s="480">
        <v>1</v>
      </c>
      <c r="F120" s="481">
        <f t="shared" si="7"/>
        <v>0</v>
      </c>
      <c r="G120" s="481">
        <f t="shared" si="7"/>
        <v>0</v>
      </c>
      <c r="H120" s="481">
        <f t="shared" si="7"/>
        <v>0</v>
      </c>
      <c r="I120" s="482">
        <f t="shared" si="7"/>
        <v>0</v>
      </c>
      <c r="J120" s="60"/>
    </row>
    <row r="121" spans="1:10" x14ac:dyDescent="0.25">
      <c r="A121" s="1216"/>
      <c r="B121" s="1217"/>
      <c r="C121" s="1217"/>
      <c r="D121" s="1218"/>
      <c r="E121" s="480">
        <v>2</v>
      </c>
      <c r="F121" s="481">
        <f t="shared" si="7"/>
        <v>0</v>
      </c>
      <c r="G121" s="481">
        <f t="shared" si="7"/>
        <v>0</v>
      </c>
      <c r="H121" s="481">
        <f t="shared" si="7"/>
        <v>0</v>
      </c>
      <c r="I121" s="482">
        <f t="shared" si="7"/>
        <v>0</v>
      </c>
      <c r="J121" s="60"/>
    </row>
    <row r="122" spans="1:10" x14ac:dyDescent="0.25">
      <c r="A122" s="1216"/>
      <c r="B122" s="1217"/>
      <c r="C122" s="1217"/>
      <c r="D122" s="1218"/>
      <c r="E122" s="480">
        <v>3</v>
      </c>
      <c r="F122" s="481">
        <f t="shared" si="7"/>
        <v>0</v>
      </c>
      <c r="G122" s="481">
        <f t="shared" si="7"/>
        <v>0</v>
      </c>
      <c r="H122" s="481">
        <f t="shared" si="7"/>
        <v>0</v>
      </c>
      <c r="I122" s="482">
        <f t="shared" si="7"/>
        <v>0</v>
      </c>
      <c r="J122" s="60"/>
    </row>
    <row r="123" spans="1:10" x14ac:dyDescent="0.25">
      <c r="A123" s="1216"/>
      <c r="B123" s="1217"/>
      <c r="C123" s="1217"/>
      <c r="D123" s="1218"/>
      <c r="E123" s="480">
        <v>4</v>
      </c>
      <c r="F123" s="481">
        <f t="shared" si="7"/>
        <v>0</v>
      </c>
      <c r="G123" s="481">
        <f t="shared" si="7"/>
        <v>0</v>
      </c>
      <c r="H123" s="481">
        <f t="shared" si="7"/>
        <v>0</v>
      </c>
      <c r="I123" s="482">
        <f t="shared" si="7"/>
        <v>0</v>
      </c>
      <c r="J123" s="60"/>
    </row>
    <row r="124" spans="1:10" x14ac:dyDescent="0.25">
      <c r="A124" s="1216"/>
      <c r="B124" s="1217"/>
      <c r="C124" s="1217"/>
      <c r="D124" s="1218"/>
      <c r="E124" s="480">
        <v>5</v>
      </c>
      <c r="F124" s="481">
        <f t="shared" si="7"/>
        <v>0</v>
      </c>
      <c r="G124" s="481">
        <f t="shared" si="7"/>
        <v>0</v>
      </c>
      <c r="H124" s="481">
        <f t="shared" si="7"/>
        <v>0</v>
      </c>
      <c r="I124" s="482">
        <f t="shared" si="7"/>
        <v>0</v>
      </c>
      <c r="J124" s="60"/>
    </row>
    <row r="125" spans="1:10" x14ac:dyDescent="0.25">
      <c r="A125" s="1216"/>
      <c r="B125" s="1217"/>
      <c r="C125" s="1217"/>
      <c r="D125" s="1218"/>
      <c r="E125" s="480">
        <v>6</v>
      </c>
      <c r="F125" s="481">
        <f t="shared" si="7"/>
        <v>0</v>
      </c>
      <c r="G125" s="481">
        <f t="shared" si="7"/>
        <v>0</v>
      </c>
      <c r="H125" s="481">
        <f t="shared" si="7"/>
        <v>0</v>
      </c>
      <c r="I125" s="482">
        <f t="shared" si="7"/>
        <v>0</v>
      </c>
      <c r="J125" s="60"/>
    </row>
    <row r="126" spans="1:10" x14ac:dyDescent="0.25">
      <c r="A126" s="1216"/>
      <c r="B126" s="1217"/>
      <c r="C126" s="1217"/>
      <c r="D126" s="1218"/>
      <c r="E126" s="480">
        <v>7</v>
      </c>
      <c r="F126" s="481">
        <f t="shared" si="7"/>
        <v>0</v>
      </c>
      <c r="G126" s="481">
        <f t="shared" si="7"/>
        <v>0</v>
      </c>
      <c r="H126" s="481">
        <f t="shared" si="7"/>
        <v>0</v>
      </c>
      <c r="I126" s="482">
        <f t="shared" si="7"/>
        <v>0</v>
      </c>
      <c r="J126" s="60"/>
    </row>
    <row r="127" spans="1:10" x14ac:dyDescent="0.25">
      <c r="A127" s="1216"/>
      <c r="B127" s="1217"/>
      <c r="C127" s="1217"/>
      <c r="D127" s="1218"/>
      <c r="E127" s="480">
        <v>8</v>
      </c>
      <c r="F127" s="481">
        <f t="shared" ref="F127:I127" si="8">F46*$J46</f>
        <v>0</v>
      </c>
      <c r="G127" s="481">
        <f t="shared" si="8"/>
        <v>0</v>
      </c>
      <c r="H127" s="481">
        <f t="shared" si="8"/>
        <v>0</v>
      </c>
      <c r="I127" s="482">
        <f t="shared" si="8"/>
        <v>0</v>
      </c>
      <c r="J127" s="60"/>
    </row>
    <row r="128" spans="1:10" x14ac:dyDescent="0.25">
      <c r="A128" s="1216"/>
      <c r="B128" s="1217"/>
      <c r="C128" s="1217"/>
      <c r="D128" s="1218"/>
      <c r="E128" s="480">
        <v>9</v>
      </c>
      <c r="F128" s="481">
        <f t="shared" ref="F128:I128" si="9">F47*$J47</f>
        <v>0</v>
      </c>
      <c r="G128" s="481">
        <f t="shared" si="9"/>
        <v>0</v>
      </c>
      <c r="H128" s="481">
        <f t="shared" si="9"/>
        <v>0</v>
      </c>
      <c r="I128" s="482">
        <f t="shared" si="9"/>
        <v>0</v>
      </c>
      <c r="J128" s="60"/>
    </row>
    <row r="129" spans="1:10" ht="15.75" thickBot="1" x14ac:dyDescent="0.3">
      <c r="A129" s="1219"/>
      <c r="B129" s="1220"/>
      <c r="C129" s="1220"/>
      <c r="D129" s="1221"/>
      <c r="E129" s="480">
        <v>10</v>
      </c>
      <c r="F129" s="481">
        <f t="shared" ref="F129:I129" si="10">F48*$J48</f>
        <v>0</v>
      </c>
      <c r="G129" s="481">
        <f t="shared" si="10"/>
        <v>0</v>
      </c>
      <c r="H129" s="481">
        <f t="shared" si="10"/>
        <v>0</v>
      </c>
      <c r="I129" s="482">
        <f t="shared" si="10"/>
        <v>0</v>
      </c>
      <c r="J129" s="60"/>
    </row>
    <row r="130" spans="1:10" x14ac:dyDescent="0.25">
      <c r="A130" s="1216" t="s">
        <v>14</v>
      </c>
      <c r="B130" s="1217"/>
      <c r="C130" s="1217"/>
      <c r="D130" s="1218"/>
      <c r="E130" s="477">
        <v>0</v>
      </c>
      <c r="F130" s="478">
        <f t="shared" ref="F130:I137" si="11">F49*$J49</f>
        <v>0</v>
      </c>
      <c r="G130" s="478">
        <f t="shared" si="11"/>
        <v>0</v>
      </c>
      <c r="H130" s="478">
        <f t="shared" si="11"/>
        <v>0</v>
      </c>
      <c r="I130" s="479">
        <f t="shared" si="11"/>
        <v>0</v>
      </c>
      <c r="J130" s="60"/>
    </row>
    <row r="131" spans="1:10" x14ac:dyDescent="0.25">
      <c r="A131" s="1216"/>
      <c r="B131" s="1217"/>
      <c r="C131" s="1217"/>
      <c r="D131" s="1218"/>
      <c r="E131" s="480">
        <v>1</v>
      </c>
      <c r="F131" s="481">
        <f t="shared" si="11"/>
        <v>0</v>
      </c>
      <c r="G131" s="481">
        <f t="shared" si="11"/>
        <v>0</v>
      </c>
      <c r="H131" s="481">
        <f t="shared" si="11"/>
        <v>0</v>
      </c>
      <c r="I131" s="482">
        <f t="shared" si="11"/>
        <v>0</v>
      </c>
      <c r="J131" s="60"/>
    </row>
    <row r="132" spans="1:10" x14ac:dyDescent="0.25">
      <c r="A132" s="1216"/>
      <c r="B132" s="1217"/>
      <c r="C132" s="1217"/>
      <c r="D132" s="1218"/>
      <c r="E132" s="480">
        <v>2</v>
      </c>
      <c r="F132" s="481">
        <f t="shared" si="11"/>
        <v>0</v>
      </c>
      <c r="G132" s="481">
        <f t="shared" si="11"/>
        <v>0</v>
      </c>
      <c r="H132" s="481">
        <f t="shared" si="11"/>
        <v>0</v>
      </c>
      <c r="I132" s="482">
        <f t="shared" si="11"/>
        <v>0</v>
      </c>
      <c r="J132" s="60"/>
    </row>
    <row r="133" spans="1:10" x14ac:dyDescent="0.25">
      <c r="A133" s="1216"/>
      <c r="B133" s="1217"/>
      <c r="C133" s="1217"/>
      <c r="D133" s="1218"/>
      <c r="E133" s="480">
        <v>3</v>
      </c>
      <c r="F133" s="481">
        <f t="shared" si="11"/>
        <v>0</v>
      </c>
      <c r="G133" s="481">
        <f t="shared" si="11"/>
        <v>0</v>
      </c>
      <c r="H133" s="481">
        <f t="shared" si="11"/>
        <v>0</v>
      </c>
      <c r="I133" s="482">
        <f t="shared" si="11"/>
        <v>0</v>
      </c>
      <c r="J133" s="60"/>
    </row>
    <row r="134" spans="1:10" x14ac:dyDescent="0.25">
      <c r="A134" s="1216"/>
      <c r="B134" s="1217"/>
      <c r="C134" s="1217"/>
      <c r="D134" s="1218"/>
      <c r="E134" s="480">
        <v>4</v>
      </c>
      <c r="F134" s="481">
        <f t="shared" si="11"/>
        <v>0</v>
      </c>
      <c r="G134" s="481">
        <f t="shared" si="11"/>
        <v>0</v>
      </c>
      <c r="H134" s="481">
        <f t="shared" si="11"/>
        <v>0</v>
      </c>
      <c r="I134" s="482">
        <f t="shared" si="11"/>
        <v>0</v>
      </c>
      <c r="J134" s="60"/>
    </row>
    <row r="135" spans="1:10" x14ac:dyDescent="0.25">
      <c r="A135" s="1216"/>
      <c r="B135" s="1217"/>
      <c r="C135" s="1217"/>
      <c r="D135" s="1218"/>
      <c r="E135" s="480">
        <v>5</v>
      </c>
      <c r="F135" s="481">
        <f t="shared" si="11"/>
        <v>1.3818181818181818</v>
      </c>
      <c r="G135" s="481">
        <f t="shared" si="11"/>
        <v>0</v>
      </c>
      <c r="H135" s="481">
        <f t="shared" si="11"/>
        <v>0</v>
      </c>
      <c r="I135" s="482">
        <f t="shared" si="11"/>
        <v>0</v>
      </c>
      <c r="J135" s="60"/>
    </row>
    <row r="136" spans="1:10" x14ac:dyDescent="0.25">
      <c r="A136" s="1216"/>
      <c r="B136" s="1217"/>
      <c r="C136" s="1217"/>
      <c r="D136" s="1218"/>
      <c r="E136" s="480">
        <v>6</v>
      </c>
      <c r="F136" s="481">
        <f t="shared" si="11"/>
        <v>0</v>
      </c>
      <c r="G136" s="481">
        <f t="shared" si="11"/>
        <v>0</v>
      </c>
      <c r="H136" s="481">
        <f t="shared" si="11"/>
        <v>0</v>
      </c>
      <c r="I136" s="482">
        <f t="shared" si="11"/>
        <v>0</v>
      </c>
      <c r="J136" s="60"/>
    </row>
    <row r="137" spans="1:10" x14ac:dyDescent="0.25">
      <c r="A137" s="1216"/>
      <c r="B137" s="1217"/>
      <c r="C137" s="1217"/>
      <c r="D137" s="1218"/>
      <c r="E137" s="480">
        <v>7</v>
      </c>
      <c r="F137" s="481">
        <f t="shared" si="11"/>
        <v>0.59454545454545404</v>
      </c>
      <c r="G137" s="481">
        <f t="shared" si="11"/>
        <v>0</v>
      </c>
      <c r="H137" s="481">
        <f t="shared" si="11"/>
        <v>0</v>
      </c>
      <c r="I137" s="482">
        <f t="shared" si="11"/>
        <v>0</v>
      </c>
      <c r="J137" s="60"/>
    </row>
    <row r="138" spans="1:10" x14ac:dyDescent="0.25">
      <c r="A138" s="1216"/>
      <c r="B138" s="1217"/>
      <c r="C138" s="1217"/>
      <c r="D138" s="1218"/>
      <c r="E138" s="480">
        <v>8</v>
      </c>
      <c r="F138" s="481">
        <f t="shared" ref="F138:I138" si="12">F57*$J57</f>
        <v>0</v>
      </c>
      <c r="G138" s="481">
        <f t="shared" si="12"/>
        <v>0</v>
      </c>
      <c r="H138" s="481">
        <f t="shared" si="12"/>
        <v>0</v>
      </c>
      <c r="I138" s="482">
        <f t="shared" si="12"/>
        <v>0</v>
      </c>
      <c r="J138" s="60"/>
    </row>
    <row r="139" spans="1:10" x14ac:dyDescent="0.25">
      <c r="A139" s="1216"/>
      <c r="B139" s="1217"/>
      <c r="C139" s="1217"/>
      <c r="D139" s="1218"/>
      <c r="E139" s="480">
        <v>9</v>
      </c>
      <c r="F139" s="481">
        <f t="shared" ref="F139:I139" si="13">F58*$J58</f>
        <v>0.4654545454545449</v>
      </c>
      <c r="G139" s="481">
        <f t="shared" si="13"/>
        <v>0</v>
      </c>
      <c r="H139" s="481">
        <f t="shared" si="13"/>
        <v>0</v>
      </c>
      <c r="I139" s="482">
        <f t="shared" si="13"/>
        <v>0</v>
      </c>
      <c r="J139" s="60"/>
    </row>
    <row r="140" spans="1:10" ht="15.75" thickBot="1" x14ac:dyDescent="0.3">
      <c r="A140" s="1219"/>
      <c r="B140" s="1220"/>
      <c r="C140" s="1220"/>
      <c r="D140" s="1221"/>
      <c r="E140" s="480">
        <v>10</v>
      </c>
      <c r="F140" s="481">
        <f t="shared" ref="F140:I140" si="14">F59*$J59</f>
        <v>0</v>
      </c>
      <c r="G140" s="481">
        <f t="shared" si="14"/>
        <v>0</v>
      </c>
      <c r="H140" s="481">
        <f t="shared" si="14"/>
        <v>0</v>
      </c>
      <c r="I140" s="482">
        <f t="shared" si="14"/>
        <v>0</v>
      </c>
      <c r="J140" s="60"/>
    </row>
    <row r="141" spans="1:10" x14ac:dyDescent="0.25">
      <c r="A141" s="1213" t="s">
        <v>15</v>
      </c>
      <c r="B141" s="1214"/>
      <c r="C141" s="1214"/>
      <c r="D141" s="1215"/>
      <c r="E141" s="477">
        <v>0</v>
      </c>
      <c r="F141" s="478">
        <f t="shared" ref="F141:I150" si="15">F60*$J60</f>
        <v>0</v>
      </c>
      <c r="G141" s="478">
        <f t="shared" si="15"/>
        <v>0</v>
      </c>
      <c r="H141" s="478">
        <f t="shared" si="15"/>
        <v>0</v>
      </c>
      <c r="I141" s="479">
        <f t="shared" si="15"/>
        <v>0</v>
      </c>
      <c r="J141" s="60"/>
    </row>
    <row r="142" spans="1:10" x14ac:dyDescent="0.25">
      <c r="A142" s="1216"/>
      <c r="B142" s="1217"/>
      <c r="C142" s="1217"/>
      <c r="D142" s="1218"/>
      <c r="E142" s="480">
        <v>1</v>
      </c>
      <c r="F142" s="481">
        <f t="shared" si="15"/>
        <v>0</v>
      </c>
      <c r="G142" s="481">
        <f t="shared" si="15"/>
        <v>0</v>
      </c>
      <c r="H142" s="481">
        <f t="shared" si="15"/>
        <v>0</v>
      </c>
      <c r="I142" s="482">
        <f t="shared" si="15"/>
        <v>0</v>
      </c>
      <c r="J142" s="60"/>
    </row>
    <row r="143" spans="1:10" x14ac:dyDescent="0.25">
      <c r="A143" s="1216"/>
      <c r="B143" s="1217"/>
      <c r="C143" s="1217"/>
      <c r="D143" s="1218"/>
      <c r="E143" s="480">
        <v>2</v>
      </c>
      <c r="F143" s="481">
        <f t="shared" si="15"/>
        <v>0</v>
      </c>
      <c r="G143" s="481">
        <f t="shared" si="15"/>
        <v>0</v>
      </c>
      <c r="H143" s="481">
        <f t="shared" si="15"/>
        <v>0</v>
      </c>
      <c r="I143" s="482">
        <f t="shared" si="15"/>
        <v>0</v>
      </c>
      <c r="J143" s="60"/>
    </row>
    <row r="144" spans="1:10" x14ac:dyDescent="0.25">
      <c r="A144" s="1216"/>
      <c r="B144" s="1217"/>
      <c r="C144" s="1217"/>
      <c r="D144" s="1218"/>
      <c r="E144" s="480">
        <v>3</v>
      </c>
      <c r="F144" s="481">
        <f t="shared" si="15"/>
        <v>0</v>
      </c>
      <c r="G144" s="481">
        <f t="shared" si="15"/>
        <v>0</v>
      </c>
      <c r="H144" s="481">
        <f t="shared" si="15"/>
        <v>0</v>
      </c>
      <c r="I144" s="482">
        <f t="shared" si="15"/>
        <v>0</v>
      </c>
      <c r="J144" s="60"/>
    </row>
    <row r="145" spans="1:10" x14ac:dyDescent="0.25">
      <c r="A145" s="1216"/>
      <c r="B145" s="1217"/>
      <c r="C145" s="1217"/>
      <c r="D145" s="1218"/>
      <c r="E145" s="480">
        <v>4</v>
      </c>
      <c r="F145" s="481">
        <f t="shared" si="15"/>
        <v>0</v>
      </c>
      <c r="G145" s="481">
        <f t="shared" si="15"/>
        <v>0</v>
      </c>
      <c r="H145" s="481">
        <f t="shared" si="15"/>
        <v>0</v>
      </c>
      <c r="I145" s="482">
        <f t="shared" si="15"/>
        <v>0</v>
      </c>
      <c r="J145" s="60"/>
    </row>
    <row r="146" spans="1:10" x14ac:dyDescent="0.25">
      <c r="A146" s="1216"/>
      <c r="B146" s="1217"/>
      <c r="C146" s="1217"/>
      <c r="D146" s="1218"/>
      <c r="E146" s="480">
        <v>5</v>
      </c>
      <c r="F146" s="481">
        <f t="shared" si="15"/>
        <v>0</v>
      </c>
      <c r="G146" s="481">
        <f t="shared" si="15"/>
        <v>0</v>
      </c>
      <c r="H146" s="481">
        <f t="shared" si="15"/>
        <v>0</v>
      </c>
      <c r="I146" s="482">
        <f t="shared" si="15"/>
        <v>0</v>
      </c>
      <c r="J146" s="60"/>
    </row>
    <row r="147" spans="1:10" x14ac:dyDescent="0.25">
      <c r="A147" s="1216"/>
      <c r="B147" s="1217"/>
      <c r="C147" s="1217"/>
      <c r="D147" s="1218"/>
      <c r="E147" s="480">
        <v>6</v>
      </c>
      <c r="F147" s="481">
        <f t="shared" si="15"/>
        <v>0</v>
      </c>
      <c r="G147" s="481">
        <f t="shared" si="15"/>
        <v>0</v>
      </c>
      <c r="H147" s="481">
        <f t="shared" si="15"/>
        <v>0</v>
      </c>
      <c r="I147" s="482">
        <f t="shared" si="15"/>
        <v>0</v>
      </c>
      <c r="J147" s="60"/>
    </row>
    <row r="148" spans="1:10" x14ac:dyDescent="0.25">
      <c r="A148" s="1216"/>
      <c r="B148" s="1217"/>
      <c r="C148" s="1217"/>
      <c r="D148" s="1218"/>
      <c r="E148" s="480">
        <v>7</v>
      </c>
      <c r="F148" s="481">
        <f t="shared" si="15"/>
        <v>0</v>
      </c>
      <c r="G148" s="481">
        <f t="shared" si="15"/>
        <v>0</v>
      </c>
      <c r="H148" s="481">
        <f t="shared" si="15"/>
        <v>0</v>
      </c>
      <c r="I148" s="482">
        <f t="shared" si="15"/>
        <v>0</v>
      </c>
      <c r="J148" s="60"/>
    </row>
    <row r="149" spans="1:10" x14ac:dyDescent="0.25">
      <c r="A149" s="1216"/>
      <c r="B149" s="1217"/>
      <c r="C149" s="1217"/>
      <c r="D149" s="1218"/>
      <c r="E149" s="480">
        <v>8</v>
      </c>
      <c r="F149" s="481">
        <f t="shared" si="15"/>
        <v>0</v>
      </c>
      <c r="G149" s="481">
        <f t="shared" si="15"/>
        <v>0</v>
      </c>
      <c r="H149" s="481">
        <f t="shared" si="15"/>
        <v>0</v>
      </c>
      <c r="I149" s="482">
        <f t="shared" si="15"/>
        <v>0</v>
      </c>
      <c r="J149" s="60"/>
    </row>
    <row r="150" spans="1:10" x14ac:dyDescent="0.25">
      <c r="A150" s="1216"/>
      <c r="B150" s="1217"/>
      <c r="C150" s="1217"/>
      <c r="D150" s="1218"/>
      <c r="E150" s="480">
        <v>9</v>
      </c>
      <c r="F150" s="481">
        <f t="shared" si="15"/>
        <v>0</v>
      </c>
      <c r="G150" s="481">
        <f t="shared" si="15"/>
        <v>0</v>
      </c>
      <c r="H150" s="481">
        <f t="shared" si="15"/>
        <v>0</v>
      </c>
      <c r="I150" s="482">
        <f t="shared" si="15"/>
        <v>0</v>
      </c>
      <c r="J150" s="60"/>
    </row>
    <row r="151" spans="1:10" ht="15.75" thickBot="1" x14ac:dyDescent="0.3">
      <c r="A151" s="1219"/>
      <c r="B151" s="1220"/>
      <c r="C151" s="1220"/>
      <c r="D151" s="1221"/>
      <c r="E151" s="483">
        <v>10</v>
      </c>
      <c r="F151" s="484">
        <f t="shared" ref="F151:I170" si="16">F70*$J70</f>
        <v>0</v>
      </c>
      <c r="G151" s="484">
        <f t="shared" si="16"/>
        <v>0</v>
      </c>
      <c r="H151" s="484">
        <f t="shared" si="16"/>
        <v>0</v>
      </c>
      <c r="I151" s="485">
        <f t="shared" si="16"/>
        <v>0</v>
      </c>
      <c r="J151" s="60"/>
    </row>
    <row r="152" spans="1:10" x14ac:dyDescent="0.25">
      <c r="A152" s="1255" t="s">
        <v>16</v>
      </c>
      <c r="B152" s="1256"/>
      <c r="C152" s="1256"/>
      <c r="D152" s="1256"/>
      <c r="E152" s="477">
        <v>0</v>
      </c>
      <c r="F152" s="478">
        <f t="shared" si="16"/>
        <v>0</v>
      </c>
      <c r="G152" s="478">
        <f t="shared" si="16"/>
        <v>0</v>
      </c>
      <c r="H152" s="478">
        <f t="shared" si="16"/>
        <v>0</v>
      </c>
      <c r="I152" s="479">
        <f t="shared" si="16"/>
        <v>0</v>
      </c>
      <c r="J152" s="60"/>
    </row>
    <row r="153" spans="1:10" x14ac:dyDescent="0.25">
      <c r="A153" s="1257"/>
      <c r="B153" s="1258"/>
      <c r="C153" s="1258"/>
      <c r="D153" s="1258"/>
      <c r="E153" s="480">
        <v>1</v>
      </c>
      <c r="F153" s="481">
        <f t="shared" si="16"/>
        <v>0</v>
      </c>
      <c r="G153" s="481">
        <f t="shared" si="16"/>
        <v>0</v>
      </c>
      <c r="H153" s="481">
        <f t="shared" si="16"/>
        <v>0</v>
      </c>
      <c r="I153" s="482">
        <f t="shared" si="16"/>
        <v>0</v>
      </c>
      <c r="J153" s="60"/>
    </row>
    <row r="154" spans="1:10" x14ac:dyDescent="0.25">
      <c r="A154" s="1257"/>
      <c r="B154" s="1258"/>
      <c r="C154" s="1258"/>
      <c r="D154" s="1258"/>
      <c r="E154" s="480">
        <v>2</v>
      </c>
      <c r="F154" s="481">
        <f t="shared" si="16"/>
        <v>0</v>
      </c>
      <c r="G154" s="481">
        <f t="shared" si="16"/>
        <v>0</v>
      </c>
      <c r="H154" s="481">
        <f t="shared" si="16"/>
        <v>0</v>
      </c>
      <c r="I154" s="482">
        <f t="shared" si="16"/>
        <v>0</v>
      </c>
      <c r="J154" s="60"/>
    </row>
    <row r="155" spans="1:10" x14ac:dyDescent="0.25">
      <c r="A155" s="1257"/>
      <c r="B155" s="1258"/>
      <c r="C155" s="1258"/>
      <c r="D155" s="1258"/>
      <c r="E155" s="480">
        <v>3</v>
      </c>
      <c r="F155" s="481">
        <f>F74*$J74</f>
        <v>0</v>
      </c>
      <c r="G155" s="481">
        <f t="shared" si="16"/>
        <v>0</v>
      </c>
      <c r="H155" s="481">
        <f t="shared" si="16"/>
        <v>0</v>
      </c>
      <c r="I155" s="482">
        <f t="shared" si="16"/>
        <v>0</v>
      </c>
      <c r="J155" s="60"/>
    </row>
    <row r="156" spans="1:10" x14ac:dyDescent="0.25">
      <c r="A156" s="1257"/>
      <c r="B156" s="1258"/>
      <c r="C156" s="1258"/>
      <c r="D156" s="1258"/>
      <c r="E156" s="480">
        <v>4</v>
      </c>
      <c r="F156" s="481">
        <f t="shared" si="16"/>
        <v>0</v>
      </c>
      <c r="G156" s="481">
        <f t="shared" si="16"/>
        <v>0</v>
      </c>
      <c r="H156" s="481">
        <f t="shared" si="16"/>
        <v>0</v>
      </c>
      <c r="I156" s="482">
        <f t="shared" si="16"/>
        <v>0</v>
      </c>
      <c r="J156" s="60"/>
    </row>
    <row r="157" spans="1:10" x14ac:dyDescent="0.25">
      <c r="A157" s="1257"/>
      <c r="B157" s="1258"/>
      <c r="C157" s="1258"/>
      <c r="D157" s="1258"/>
      <c r="E157" s="480">
        <v>5</v>
      </c>
      <c r="F157" s="481">
        <f t="shared" si="16"/>
        <v>0</v>
      </c>
      <c r="G157" s="481">
        <f t="shared" si="16"/>
        <v>0</v>
      </c>
      <c r="H157" s="481">
        <f t="shared" si="16"/>
        <v>0</v>
      </c>
      <c r="I157" s="482">
        <f t="shared" si="16"/>
        <v>0</v>
      </c>
      <c r="J157" s="60"/>
    </row>
    <row r="158" spans="1:10" x14ac:dyDescent="0.25">
      <c r="A158" s="1257"/>
      <c r="B158" s="1258"/>
      <c r="C158" s="1258"/>
      <c r="D158" s="1258"/>
      <c r="E158" s="480">
        <v>6</v>
      </c>
      <c r="F158" s="481">
        <f t="shared" si="16"/>
        <v>0</v>
      </c>
      <c r="G158" s="481">
        <f t="shared" si="16"/>
        <v>0</v>
      </c>
      <c r="H158" s="481">
        <f t="shared" si="16"/>
        <v>0</v>
      </c>
      <c r="I158" s="482">
        <f t="shared" si="16"/>
        <v>0</v>
      </c>
      <c r="J158" s="60"/>
    </row>
    <row r="159" spans="1:10" x14ac:dyDescent="0.25">
      <c r="A159" s="1257"/>
      <c r="B159" s="1258"/>
      <c r="C159" s="1258"/>
      <c r="D159" s="1258"/>
      <c r="E159" s="480">
        <v>7</v>
      </c>
      <c r="F159" s="481">
        <f t="shared" si="16"/>
        <v>0</v>
      </c>
      <c r="G159" s="481">
        <f t="shared" si="16"/>
        <v>0</v>
      </c>
      <c r="H159" s="481">
        <f t="shared" si="16"/>
        <v>0</v>
      </c>
      <c r="I159" s="482">
        <f t="shared" si="16"/>
        <v>0</v>
      </c>
      <c r="J159" s="60"/>
    </row>
    <row r="160" spans="1:10" x14ac:dyDescent="0.25">
      <c r="A160" s="1257"/>
      <c r="B160" s="1258"/>
      <c r="C160" s="1258"/>
      <c r="D160" s="1258"/>
      <c r="E160" s="480">
        <v>8</v>
      </c>
      <c r="F160" s="481">
        <f t="shared" si="16"/>
        <v>0</v>
      </c>
      <c r="G160" s="481">
        <f t="shared" si="16"/>
        <v>0</v>
      </c>
      <c r="H160" s="481">
        <f t="shared" si="16"/>
        <v>0</v>
      </c>
      <c r="I160" s="482">
        <f t="shared" si="16"/>
        <v>0</v>
      </c>
      <c r="J160" s="60"/>
    </row>
    <row r="161" spans="1:10" x14ac:dyDescent="0.25">
      <c r="A161" s="1257"/>
      <c r="B161" s="1258"/>
      <c r="C161" s="1258"/>
      <c r="D161" s="1258"/>
      <c r="E161" s="480">
        <v>9</v>
      </c>
      <c r="F161" s="481">
        <f t="shared" si="16"/>
        <v>0</v>
      </c>
      <c r="G161" s="481">
        <f t="shared" si="16"/>
        <v>0</v>
      </c>
      <c r="H161" s="481">
        <f t="shared" si="16"/>
        <v>0</v>
      </c>
      <c r="I161" s="482">
        <f t="shared" si="16"/>
        <v>0</v>
      </c>
      <c r="J161" s="60"/>
    </row>
    <row r="162" spans="1:10" x14ac:dyDescent="0.25">
      <c r="A162" s="1257"/>
      <c r="B162" s="1258"/>
      <c r="C162" s="1258"/>
      <c r="D162" s="1258"/>
      <c r="E162" s="480">
        <v>10</v>
      </c>
      <c r="F162" s="481">
        <f t="shared" si="16"/>
        <v>0</v>
      </c>
      <c r="G162" s="481">
        <f t="shared" si="16"/>
        <v>0</v>
      </c>
      <c r="H162" s="481">
        <f t="shared" si="16"/>
        <v>0</v>
      </c>
      <c r="I162" s="482">
        <f t="shared" si="16"/>
        <v>0</v>
      </c>
      <c r="J162" s="60"/>
    </row>
    <row r="163" spans="1:10" x14ac:dyDescent="0.25">
      <c r="A163" s="1257"/>
      <c r="B163" s="1258"/>
      <c r="C163" s="1258"/>
      <c r="D163" s="1258"/>
      <c r="E163" s="480">
        <v>11</v>
      </c>
      <c r="F163" s="481">
        <f t="shared" si="16"/>
        <v>0</v>
      </c>
      <c r="G163" s="481">
        <f t="shared" si="16"/>
        <v>0</v>
      </c>
      <c r="H163" s="481">
        <f t="shared" si="16"/>
        <v>0</v>
      </c>
      <c r="I163" s="482">
        <f t="shared" si="16"/>
        <v>0</v>
      </c>
      <c r="J163" s="60"/>
    </row>
    <row r="164" spans="1:10" ht="15.75" thickBot="1" x14ac:dyDescent="0.3">
      <c r="A164" s="1259"/>
      <c r="B164" s="1260"/>
      <c r="C164" s="1260"/>
      <c r="D164" s="1260"/>
      <c r="E164" s="483">
        <v>12</v>
      </c>
      <c r="F164" s="484">
        <f t="shared" si="16"/>
        <v>0</v>
      </c>
      <c r="G164" s="484">
        <f t="shared" si="16"/>
        <v>0</v>
      </c>
      <c r="H164" s="484">
        <f t="shared" si="16"/>
        <v>0</v>
      </c>
      <c r="I164" s="485">
        <f t="shared" si="16"/>
        <v>0</v>
      </c>
      <c r="J164" s="60"/>
    </row>
    <row r="165" spans="1:10" x14ac:dyDescent="0.25">
      <c r="A165" s="1216" t="s">
        <v>17</v>
      </c>
      <c r="B165" s="1217"/>
      <c r="C165" s="1217"/>
      <c r="D165" s="1217"/>
      <c r="E165" s="486">
        <v>0</v>
      </c>
      <c r="F165" s="487">
        <f t="shared" si="16"/>
        <v>0</v>
      </c>
      <c r="G165" s="487">
        <f t="shared" si="16"/>
        <v>0</v>
      </c>
      <c r="H165" s="487">
        <f t="shared" si="16"/>
        <v>0</v>
      </c>
      <c r="I165" s="488">
        <f t="shared" si="16"/>
        <v>0</v>
      </c>
      <c r="J165" s="60"/>
    </row>
    <row r="166" spans="1:10" x14ac:dyDescent="0.25">
      <c r="A166" s="1216"/>
      <c r="B166" s="1217"/>
      <c r="C166" s="1217"/>
      <c r="D166" s="1217"/>
      <c r="E166" s="480">
        <v>1</v>
      </c>
      <c r="F166" s="481">
        <f t="shared" si="16"/>
        <v>0</v>
      </c>
      <c r="G166" s="481">
        <f t="shared" si="16"/>
        <v>0</v>
      </c>
      <c r="H166" s="481">
        <f t="shared" si="16"/>
        <v>0</v>
      </c>
      <c r="I166" s="482">
        <f t="shared" si="16"/>
        <v>0</v>
      </c>
      <c r="J166" s="60"/>
    </row>
    <row r="167" spans="1:10" x14ac:dyDescent="0.25">
      <c r="A167" s="1216"/>
      <c r="B167" s="1217"/>
      <c r="C167" s="1217"/>
      <c r="D167" s="1217"/>
      <c r="E167" s="480">
        <v>2</v>
      </c>
      <c r="F167" s="481">
        <f t="shared" si="16"/>
        <v>0</v>
      </c>
      <c r="G167" s="481">
        <f t="shared" si="16"/>
        <v>0</v>
      </c>
      <c r="H167" s="481">
        <f t="shared" si="16"/>
        <v>0</v>
      </c>
      <c r="I167" s="482">
        <f t="shared" si="16"/>
        <v>0</v>
      </c>
      <c r="J167" s="60"/>
    </row>
    <row r="168" spans="1:10" x14ac:dyDescent="0.25">
      <c r="A168" s="1216"/>
      <c r="B168" s="1217"/>
      <c r="C168" s="1217"/>
      <c r="D168" s="1217"/>
      <c r="E168" s="480">
        <v>3</v>
      </c>
      <c r="F168" s="481">
        <f t="shared" si="16"/>
        <v>0</v>
      </c>
      <c r="G168" s="481">
        <f t="shared" si="16"/>
        <v>0</v>
      </c>
      <c r="H168" s="481">
        <f t="shared" si="16"/>
        <v>0</v>
      </c>
      <c r="I168" s="482">
        <f t="shared" si="16"/>
        <v>0</v>
      </c>
      <c r="J168" s="60"/>
    </row>
    <row r="169" spans="1:10" x14ac:dyDescent="0.25">
      <c r="A169" s="1216"/>
      <c r="B169" s="1217"/>
      <c r="C169" s="1217"/>
      <c r="D169" s="1217"/>
      <c r="E169" s="480">
        <v>4</v>
      </c>
      <c r="F169" s="481">
        <f t="shared" si="16"/>
        <v>0</v>
      </c>
      <c r="G169" s="481">
        <f t="shared" si="16"/>
        <v>0</v>
      </c>
      <c r="H169" s="481">
        <f t="shared" si="16"/>
        <v>0</v>
      </c>
      <c r="I169" s="482">
        <f t="shared" si="16"/>
        <v>0</v>
      </c>
      <c r="J169" s="60"/>
    </row>
    <row r="170" spans="1:10" x14ac:dyDescent="0.25">
      <c r="A170" s="1216"/>
      <c r="B170" s="1217"/>
      <c r="C170" s="1217"/>
      <c r="D170" s="1217"/>
      <c r="E170" s="480">
        <v>5</v>
      </c>
      <c r="F170" s="481">
        <f t="shared" si="16"/>
        <v>0</v>
      </c>
      <c r="G170" s="481">
        <f t="shared" si="16"/>
        <v>0</v>
      </c>
      <c r="H170" s="481">
        <f t="shared" si="16"/>
        <v>0</v>
      </c>
      <c r="I170" s="482">
        <f t="shared" si="16"/>
        <v>0</v>
      </c>
      <c r="J170" s="60"/>
    </row>
    <row r="171" spans="1:10" x14ac:dyDescent="0.25">
      <c r="A171" s="1216"/>
      <c r="B171" s="1217"/>
      <c r="C171" s="1217"/>
      <c r="D171" s="1217"/>
      <c r="E171" s="480">
        <v>6</v>
      </c>
      <c r="F171" s="481">
        <f t="shared" ref="F171:I177" si="17">F90*$J90</f>
        <v>0</v>
      </c>
      <c r="G171" s="481">
        <f t="shared" si="17"/>
        <v>0</v>
      </c>
      <c r="H171" s="481">
        <f t="shared" si="17"/>
        <v>0</v>
      </c>
      <c r="I171" s="482">
        <f t="shared" si="17"/>
        <v>0</v>
      </c>
      <c r="J171" s="60"/>
    </row>
    <row r="172" spans="1:10" x14ac:dyDescent="0.25">
      <c r="A172" s="1216"/>
      <c r="B172" s="1217"/>
      <c r="C172" s="1217"/>
      <c r="D172" s="1217"/>
      <c r="E172" s="480">
        <v>7</v>
      </c>
      <c r="F172" s="481">
        <f t="shared" si="17"/>
        <v>0</v>
      </c>
      <c r="G172" s="481">
        <f t="shared" si="17"/>
        <v>0</v>
      </c>
      <c r="H172" s="481">
        <f t="shared" si="17"/>
        <v>0</v>
      </c>
      <c r="I172" s="482">
        <f t="shared" si="17"/>
        <v>0</v>
      </c>
      <c r="J172" s="60"/>
    </row>
    <row r="173" spans="1:10" x14ac:dyDescent="0.25">
      <c r="A173" s="1216"/>
      <c r="B173" s="1217"/>
      <c r="C173" s="1217"/>
      <c r="D173" s="1217"/>
      <c r="E173" s="480">
        <v>8</v>
      </c>
      <c r="F173" s="481">
        <f t="shared" si="17"/>
        <v>0</v>
      </c>
      <c r="G173" s="481">
        <f t="shared" si="17"/>
        <v>0</v>
      </c>
      <c r="H173" s="481">
        <f t="shared" si="17"/>
        <v>0</v>
      </c>
      <c r="I173" s="482">
        <f t="shared" si="17"/>
        <v>0</v>
      </c>
      <c r="J173" s="60"/>
    </row>
    <row r="174" spans="1:10" x14ac:dyDescent="0.25">
      <c r="A174" s="1216"/>
      <c r="B174" s="1217"/>
      <c r="C174" s="1217"/>
      <c r="D174" s="1217"/>
      <c r="E174" s="480">
        <v>9</v>
      </c>
      <c r="F174" s="481">
        <f t="shared" si="17"/>
        <v>0</v>
      </c>
      <c r="G174" s="481">
        <f t="shared" si="17"/>
        <v>0</v>
      </c>
      <c r="H174" s="481">
        <f t="shared" si="17"/>
        <v>0</v>
      </c>
      <c r="I174" s="482">
        <f t="shared" si="17"/>
        <v>0</v>
      </c>
      <c r="J174" s="60"/>
    </row>
    <row r="175" spans="1:10" x14ac:dyDescent="0.25">
      <c r="A175" s="1216"/>
      <c r="B175" s="1217"/>
      <c r="C175" s="1217"/>
      <c r="D175" s="1217"/>
      <c r="E175" s="480">
        <v>10</v>
      </c>
      <c r="F175" s="481">
        <f t="shared" si="17"/>
        <v>0</v>
      </c>
      <c r="G175" s="481">
        <f t="shared" si="17"/>
        <v>0</v>
      </c>
      <c r="H175" s="481">
        <f t="shared" si="17"/>
        <v>0</v>
      </c>
      <c r="I175" s="482">
        <f t="shared" si="17"/>
        <v>0</v>
      </c>
      <c r="J175" s="60"/>
    </row>
    <row r="176" spans="1:10" x14ac:dyDescent="0.25">
      <c r="A176" s="1216"/>
      <c r="B176" s="1217"/>
      <c r="C176" s="1217"/>
      <c r="D176" s="1217"/>
      <c r="E176" s="480">
        <v>11</v>
      </c>
      <c r="F176" s="481">
        <f t="shared" si="17"/>
        <v>0</v>
      </c>
      <c r="G176" s="481">
        <f t="shared" si="17"/>
        <v>0</v>
      </c>
      <c r="H176" s="481">
        <f t="shared" si="17"/>
        <v>0</v>
      </c>
      <c r="I176" s="482">
        <f t="shared" si="17"/>
        <v>0</v>
      </c>
      <c r="J176" s="60"/>
    </row>
    <row r="177" spans="1:10" ht="15.75" thickBot="1" x14ac:dyDescent="0.3">
      <c r="A177" s="1219"/>
      <c r="B177" s="1220"/>
      <c r="C177" s="1220"/>
      <c r="D177" s="1220"/>
      <c r="E177" s="483">
        <v>12</v>
      </c>
      <c r="F177" s="484">
        <f t="shared" si="17"/>
        <v>0</v>
      </c>
      <c r="G177" s="484">
        <f t="shared" si="17"/>
        <v>0</v>
      </c>
      <c r="H177" s="484">
        <f t="shared" si="17"/>
        <v>0</v>
      </c>
      <c r="I177" s="485">
        <f t="shared" si="17"/>
        <v>0</v>
      </c>
      <c r="J177" s="60"/>
    </row>
    <row r="179" spans="1:10" x14ac:dyDescent="0.25">
      <c r="A179" s="14" t="s">
        <v>695</v>
      </c>
      <c r="B179" s="61" t="s">
        <v>142</v>
      </c>
    </row>
    <row r="180" spans="1:10" x14ac:dyDescent="0.25">
      <c r="A180" s="1121" t="s">
        <v>8</v>
      </c>
      <c r="B180" s="1121"/>
      <c r="C180" s="1121"/>
      <c r="D180" s="1121"/>
      <c r="E180" s="1254" t="s">
        <v>115</v>
      </c>
      <c r="F180" s="1249" t="s">
        <v>6</v>
      </c>
      <c r="G180" s="1250"/>
      <c r="H180" s="1249" t="s">
        <v>7</v>
      </c>
      <c r="I180" s="1250"/>
    </row>
    <row r="181" spans="1:10" ht="15.75" thickBot="1" x14ac:dyDescent="0.3">
      <c r="A181" s="1121"/>
      <c r="B181" s="1121"/>
      <c r="C181" s="1121"/>
      <c r="D181" s="1121"/>
      <c r="E181" s="1286"/>
      <c r="F181" s="489" t="s">
        <v>9</v>
      </c>
      <c r="G181" s="489" t="s">
        <v>10</v>
      </c>
      <c r="H181" s="489" t="s">
        <v>9</v>
      </c>
      <c r="I181" s="489" t="s">
        <v>10</v>
      </c>
    </row>
    <row r="182" spans="1:10" x14ac:dyDescent="0.25">
      <c r="A182" s="1213" t="s">
        <v>124</v>
      </c>
      <c r="B182" s="1214"/>
      <c r="C182" s="1214"/>
      <c r="D182" s="1215"/>
      <c r="E182" s="490">
        <v>0</v>
      </c>
      <c r="F182" s="1324">
        <f>SUM(F102:F107)*'ANTP_2.1.b Veículos'!D8</f>
        <v>0</v>
      </c>
      <c r="G182" s="1307">
        <f>SUM(G102:G107)*'ANTP_2.1.b Veículos'!E8</f>
        <v>0</v>
      </c>
      <c r="H182" s="1307">
        <f>SUM(H102:H107)*'ANTP_2.1.b Veículos'!F8</f>
        <v>0</v>
      </c>
      <c r="I182" s="1321">
        <f>SUM(I102:I107)*'ANTP_2.1.b Veículos'!G8</f>
        <v>0</v>
      </c>
    </row>
    <row r="183" spans="1:10" x14ac:dyDescent="0.25">
      <c r="A183" s="1216"/>
      <c r="B183" s="1217"/>
      <c r="C183" s="1217"/>
      <c r="D183" s="1218"/>
      <c r="E183" s="491">
        <v>1</v>
      </c>
      <c r="F183" s="1325"/>
      <c r="G183" s="1308"/>
      <c r="H183" s="1308"/>
      <c r="I183" s="1322"/>
    </row>
    <row r="184" spans="1:10" x14ac:dyDescent="0.25">
      <c r="A184" s="1216"/>
      <c r="B184" s="1217"/>
      <c r="C184" s="1217"/>
      <c r="D184" s="1218"/>
      <c r="E184" s="491">
        <v>2</v>
      </c>
      <c r="F184" s="1325"/>
      <c r="G184" s="1308"/>
      <c r="H184" s="1308"/>
      <c r="I184" s="1322"/>
    </row>
    <row r="185" spans="1:10" x14ac:dyDescent="0.25">
      <c r="A185" s="1216"/>
      <c r="B185" s="1217"/>
      <c r="C185" s="1217"/>
      <c r="D185" s="1218"/>
      <c r="E185" s="491">
        <v>3</v>
      </c>
      <c r="F185" s="1325"/>
      <c r="G185" s="1308"/>
      <c r="H185" s="1308"/>
      <c r="I185" s="1322"/>
    </row>
    <row r="186" spans="1:10" x14ac:dyDescent="0.25">
      <c r="A186" s="1216"/>
      <c r="B186" s="1217"/>
      <c r="C186" s="1217"/>
      <c r="D186" s="1218"/>
      <c r="E186" s="491">
        <v>4</v>
      </c>
      <c r="F186" s="1325"/>
      <c r="G186" s="1308"/>
      <c r="H186" s="1308"/>
      <c r="I186" s="1322"/>
    </row>
    <row r="187" spans="1:10" ht="15.75" thickBot="1" x14ac:dyDescent="0.3">
      <c r="A187" s="1219"/>
      <c r="B187" s="1220"/>
      <c r="C187" s="1220"/>
      <c r="D187" s="1221"/>
      <c r="E187" s="492">
        <v>5</v>
      </c>
      <c r="F187" s="1326"/>
      <c r="G187" s="1309"/>
      <c r="H187" s="1309"/>
      <c r="I187" s="1323"/>
    </row>
    <row r="188" spans="1:10" x14ac:dyDescent="0.25">
      <c r="A188" s="1213" t="s">
        <v>12</v>
      </c>
      <c r="B188" s="1214"/>
      <c r="C188" s="1214"/>
      <c r="D188" s="1215"/>
      <c r="E188" s="562">
        <v>0</v>
      </c>
      <c r="F188" s="1318">
        <f>SUM(F108:F118)*'ANTP_2.1.b Veículos'!D9</f>
        <v>0</v>
      </c>
      <c r="G188" s="1307">
        <f>SUM(G108:G118)*'ANTP_2.1.b Veículos'!E9</f>
        <v>0</v>
      </c>
      <c r="H188" s="1307">
        <f>SUM(H108:H118)*'ANTP_2.1.b Veículos'!F9</f>
        <v>0</v>
      </c>
      <c r="I188" s="1307">
        <f>SUM(I108:I118)*'ANTP_2.1.b Veículos'!G9</f>
        <v>0</v>
      </c>
    </row>
    <row r="189" spans="1:10" x14ac:dyDescent="0.25">
      <c r="A189" s="1216"/>
      <c r="B189" s="1217"/>
      <c r="C189" s="1217"/>
      <c r="D189" s="1218"/>
      <c r="E189" s="563">
        <v>1</v>
      </c>
      <c r="F189" s="1319"/>
      <c r="G189" s="1308"/>
      <c r="H189" s="1308"/>
      <c r="I189" s="1308"/>
    </row>
    <row r="190" spans="1:10" x14ac:dyDescent="0.25">
      <c r="A190" s="1216"/>
      <c r="B190" s="1217"/>
      <c r="C190" s="1217"/>
      <c r="D190" s="1218"/>
      <c r="E190" s="563">
        <v>2</v>
      </c>
      <c r="F190" s="1319"/>
      <c r="G190" s="1308"/>
      <c r="H190" s="1308"/>
      <c r="I190" s="1308"/>
    </row>
    <row r="191" spans="1:10" x14ac:dyDescent="0.25">
      <c r="A191" s="1216"/>
      <c r="B191" s="1217"/>
      <c r="C191" s="1217"/>
      <c r="D191" s="1218"/>
      <c r="E191" s="563">
        <v>3</v>
      </c>
      <c r="F191" s="1319"/>
      <c r="G191" s="1308"/>
      <c r="H191" s="1308"/>
      <c r="I191" s="1308"/>
    </row>
    <row r="192" spans="1:10" x14ac:dyDescent="0.25">
      <c r="A192" s="1216"/>
      <c r="B192" s="1217"/>
      <c r="C192" s="1217"/>
      <c r="D192" s="1218"/>
      <c r="E192" s="563">
        <v>4</v>
      </c>
      <c r="F192" s="1319"/>
      <c r="G192" s="1308"/>
      <c r="H192" s="1308"/>
      <c r="I192" s="1308"/>
    </row>
    <row r="193" spans="1:9" x14ac:dyDescent="0.25">
      <c r="A193" s="1216"/>
      <c r="B193" s="1217"/>
      <c r="C193" s="1217"/>
      <c r="D193" s="1218"/>
      <c r="E193" s="563">
        <v>5</v>
      </c>
      <c r="F193" s="1319"/>
      <c r="G193" s="1308"/>
      <c r="H193" s="1308"/>
      <c r="I193" s="1308"/>
    </row>
    <row r="194" spans="1:9" x14ac:dyDescent="0.25">
      <c r="A194" s="1216"/>
      <c r="B194" s="1217"/>
      <c r="C194" s="1217"/>
      <c r="D194" s="1218"/>
      <c r="E194" s="563">
        <v>6</v>
      </c>
      <c r="F194" s="1319"/>
      <c r="G194" s="1308"/>
      <c r="H194" s="1308"/>
      <c r="I194" s="1308"/>
    </row>
    <row r="195" spans="1:9" x14ac:dyDescent="0.25">
      <c r="A195" s="1216"/>
      <c r="B195" s="1217"/>
      <c r="C195" s="1217"/>
      <c r="D195" s="1218"/>
      <c r="E195" s="563">
        <v>7</v>
      </c>
      <c r="F195" s="1319"/>
      <c r="G195" s="1308"/>
      <c r="H195" s="1308"/>
      <c r="I195" s="1308"/>
    </row>
    <row r="196" spans="1:9" x14ac:dyDescent="0.25">
      <c r="A196" s="1216"/>
      <c r="B196" s="1217"/>
      <c r="C196" s="1217"/>
      <c r="D196" s="1218"/>
      <c r="E196" s="563">
        <v>8</v>
      </c>
      <c r="F196" s="1319"/>
      <c r="G196" s="1308"/>
      <c r="H196" s="1308"/>
      <c r="I196" s="1308"/>
    </row>
    <row r="197" spans="1:9" x14ac:dyDescent="0.25">
      <c r="A197" s="1216"/>
      <c r="B197" s="1217"/>
      <c r="C197" s="1217"/>
      <c r="D197" s="1218"/>
      <c r="E197" s="563">
        <v>9</v>
      </c>
      <c r="F197" s="1319"/>
      <c r="G197" s="1308"/>
      <c r="H197" s="1308"/>
      <c r="I197" s="1308"/>
    </row>
    <row r="198" spans="1:9" ht="15.75" thickBot="1" x14ac:dyDescent="0.3">
      <c r="A198" s="1219"/>
      <c r="B198" s="1220"/>
      <c r="C198" s="1220"/>
      <c r="D198" s="1221"/>
      <c r="E198" s="563">
        <v>10</v>
      </c>
      <c r="F198" s="1320"/>
      <c r="G198" s="1309"/>
      <c r="H198" s="1309"/>
      <c r="I198" s="1309"/>
    </row>
    <row r="199" spans="1:9" x14ac:dyDescent="0.25">
      <c r="A199" s="1213" t="s">
        <v>13</v>
      </c>
      <c r="B199" s="1214"/>
      <c r="C199" s="1214"/>
      <c r="D199" s="1215"/>
      <c r="E199" s="562">
        <v>0</v>
      </c>
      <c r="F199" s="1318">
        <f>SUM(F119:F129)*'ANTP_2.1.b Veículos'!D10</f>
        <v>0</v>
      </c>
      <c r="G199" s="1307">
        <f>SUM(G119:G129)*'ANTP_2.1.b Veículos'!E10</f>
        <v>0</v>
      </c>
      <c r="H199" s="1307">
        <f>SUM(H119:H129)*'ANTP_2.1.b Veículos'!F10</f>
        <v>0</v>
      </c>
      <c r="I199" s="1321">
        <f>SUM(I119:I129)*'ANTP_2.1.b Veículos'!G10</f>
        <v>0</v>
      </c>
    </row>
    <row r="200" spans="1:9" x14ac:dyDescent="0.25">
      <c r="A200" s="1216"/>
      <c r="B200" s="1217"/>
      <c r="C200" s="1217"/>
      <c r="D200" s="1218"/>
      <c r="E200" s="563">
        <v>1</v>
      </c>
      <c r="F200" s="1319"/>
      <c r="G200" s="1308"/>
      <c r="H200" s="1308"/>
      <c r="I200" s="1322"/>
    </row>
    <row r="201" spans="1:9" x14ac:dyDescent="0.25">
      <c r="A201" s="1216"/>
      <c r="B201" s="1217"/>
      <c r="C201" s="1217"/>
      <c r="D201" s="1218"/>
      <c r="E201" s="563">
        <v>2</v>
      </c>
      <c r="F201" s="1319"/>
      <c r="G201" s="1308"/>
      <c r="H201" s="1308"/>
      <c r="I201" s="1322"/>
    </row>
    <row r="202" spans="1:9" x14ac:dyDescent="0.25">
      <c r="A202" s="1216"/>
      <c r="B202" s="1217"/>
      <c r="C202" s="1217"/>
      <c r="D202" s="1218"/>
      <c r="E202" s="563">
        <v>3</v>
      </c>
      <c r="F202" s="1319"/>
      <c r="G202" s="1308"/>
      <c r="H202" s="1308"/>
      <c r="I202" s="1322"/>
    </row>
    <row r="203" spans="1:9" x14ac:dyDescent="0.25">
      <c r="A203" s="1216"/>
      <c r="B203" s="1217"/>
      <c r="C203" s="1217"/>
      <c r="D203" s="1218"/>
      <c r="E203" s="563">
        <v>4</v>
      </c>
      <c r="F203" s="1319"/>
      <c r="G203" s="1308"/>
      <c r="H203" s="1308"/>
      <c r="I203" s="1322"/>
    </row>
    <row r="204" spans="1:9" x14ac:dyDescent="0.25">
      <c r="A204" s="1216"/>
      <c r="B204" s="1217"/>
      <c r="C204" s="1217"/>
      <c r="D204" s="1218"/>
      <c r="E204" s="563">
        <v>5</v>
      </c>
      <c r="F204" s="1319"/>
      <c r="G204" s="1308"/>
      <c r="H204" s="1308"/>
      <c r="I204" s="1322"/>
    </row>
    <row r="205" spans="1:9" x14ac:dyDescent="0.25">
      <c r="A205" s="1216"/>
      <c r="B205" s="1217"/>
      <c r="C205" s="1217"/>
      <c r="D205" s="1218"/>
      <c r="E205" s="563">
        <v>6</v>
      </c>
      <c r="F205" s="1319"/>
      <c r="G205" s="1308"/>
      <c r="H205" s="1308"/>
      <c r="I205" s="1322"/>
    </row>
    <row r="206" spans="1:9" x14ac:dyDescent="0.25">
      <c r="A206" s="1216"/>
      <c r="B206" s="1217"/>
      <c r="C206" s="1217"/>
      <c r="D206" s="1218"/>
      <c r="E206" s="563">
        <v>7</v>
      </c>
      <c r="F206" s="1319"/>
      <c r="G206" s="1308"/>
      <c r="H206" s="1308"/>
      <c r="I206" s="1322"/>
    </row>
    <row r="207" spans="1:9" x14ac:dyDescent="0.25">
      <c r="A207" s="1216"/>
      <c r="B207" s="1217"/>
      <c r="C207" s="1217"/>
      <c r="D207" s="1218"/>
      <c r="E207" s="563">
        <v>8</v>
      </c>
      <c r="F207" s="1319"/>
      <c r="G207" s="1308"/>
      <c r="H207" s="1308"/>
      <c r="I207" s="1322"/>
    </row>
    <row r="208" spans="1:9" x14ac:dyDescent="0.25">
      <c r="A208" s="1216"/>
      <c r="B208" s="1217"/>
      <c r="C208" s="1217"/>
      <c r="D208" s="1218"/>
      <c r="E208" s="563">
        <v>9</v>
      </c>
      <c r="F208" s="1319"/>
      <c r="G208" s="1308"/>
      <c r="H208" s="1308"/>
      <c r="I208" s="1322"/>
    </row>
    <row r="209" spans="1:9" ht="15.75" thickBot="1" x14ac:dyDescent="0.3">
      <c r="A209" s="1219"/>
      <c r="B209" s="1220"/>
      <c r="C209" s="1220"/>
      <c r="D209" s="1221"/>
      <c r="E209" s="564">
        <v>10</v>
      </c>
      <c r="F209" s="1320"/>
      <c r="G209" s="1309"/>
      <c r="H209" s="1309"/>
      <c r="I209" s="1323"/>
    </row>
    <row r="210" spans="1:9" x14ac:dyDescent="0.25">
      <c r="A210" s="1213" t="s">
        <v>14</v>
      </c>
      <c r="B210" s="1214"/>
      <c r="C210" s="1214"/>
      <c r="D210" s="1215"/>
      <c r="E210" s="562">
        <v>0</v>
      </c>
      <c r="F210" s="1318">
        <f>SUM(F130:F140)*'ANTP_2.1.b Veículos'!D11</f>
        <v>1814759.2727272718</v>
      </c>
      <c r="G210" s="1307">
        <f>SUM(G130:G140)*'ANTP_2.1.b Veículos'!E11</f>
        <v>0</v>
      </c>
      <c r="H210" s="1307">
        <f>SUM(H130:H140)*'ANTP_2.1.b Veículos'!F11</f>
        <v>0</v>
      </c>
      <c r="I210" s="1321">
        <f>SUM(I130:I140)*'ANTP_2.1.b Veículos'!G11</f>
        <v>0</v>
      </c>
    </row>
    <row r="211" spans="1:9" x14ac:dyDescent="0.25">
      <c r="A211" s="1216"/>
      <c r="B211" s="1217"/>
      <c r="C211" s="1217"/>
      <c r="D211" s="1218"/>
      <c r="E211" s="563">
        <v>1</v>
      </c>
      <c r="F211" s="1319"/>
      <c r="G211" s="1308"/>
      <c r="H211" s="1308"/>
      <c r="I211" s="1322"/>
    </row>
    <row r="212" spans="1:9" x14ac:dyDescent="0.25">
      <c r="A212" s="1216"/>
      <c r="B212" s="1217"/>
      <c r="C212" s="1217"/>
      <c r="D212" s="1218"/>
      <c r="E212" s="563">
        <v>2</v>
      </c>
      <c r="F212" s="1319"/>
      <c r="G212" s="1308"/>
      <c r="H212" s="1308"/>
      <c r="I212" s="1322"/>
    </row>
    <row r="213" spans="1:9" x14ac:dyDescent="0.25">
      <c r="A213" s="1216"/>
      <c r="B213" s="1217"/>
      <c r="C213" s="1217"/>
      <c r="D213" s="1218"/>
      <c r="E213" s="563">
        <v>3</v>
      </c>
      <c r="F213" s="1319"/>
      <c r="G213" s="1308"/>
      <c r="H213" s="1308"/>
      <c r="I213" s="1322"/>
    </row>
    <row r="214" spans="1:9" x14ac:dyDescent="0.25">
      <c r="A214" s="1216"/>
      <c r="B214" s="1217"/>
      <c r="C214" s="1217"/>
      <c r="D214" s="1218"/>
      <c r="E214" s="563">
        <v>4</v>
      </c>
      <c r="F214" s="1319"/>
      <c r="G214" s="1308"/>
      <c r="H214" s="1308"/>
      <c r="I214" s="1322"/>
    </row>
    <row r="215" spans="1:9" x14ac:dyDescent="0.25">
      <c r="A215" s="1216"/>
      <c r="B215" s="1217"/>
      <c r="C215" s="1217"/>
      <c r="D215" s="1218"/>
      <c r="E215" s="563">
        <v>5</v>
      </c>
      <c r="F215" s="1319"/>
      <c r="G215" s="1308"/>
      <c r="H215" s="1308"/>
      <c r="I215" s="1322"/>
    </row>
    <row r="216" spans="1:9" x14ac:dyDescent="0.25">
      <c r="A216" s="1216"/>
      <c r="B216" s="1217"/>
      <c r="C216" s="1217"/>
      <c r="D216" s="1218"/>
      <c r="E216" s="563">
        <v>6</v>
      </c>
      <c r="F216" s="1319"/>
      <c r="G216" s="1308"/>
      <c r="H216" s="1308"/>
      <c r="I216" s="1322"/>
    </row>
    <row r="217" spans="1:9" x14ac:dyDescent="0.25">
      <c r="A217" s="1216"/>
      <c r="B217" s="1217"/>
      <c r="C217" s="1217"/>
      <c r="D217" s="1218"/>
      <c r="E217" s="563">
        <v>7</v>
      </c>
      <c r="F217" s="1319"/>
      <c r="G217" s="1308"/>
      <c r="H217" s="1308"/>
      <c r="I217" s="1322"/>
    </row>
    <row r="218" spans="1:9" x14ac:dyDescent="0.25">
      <c r="A218" s="1216"/>
      <c r="B218" s="1217"/>
      <c r="C218" s="1217"/>
      <c r="D218" s="1218"/>
      <c r="E218" s="563">
        <v>8</v>
      </c>
      <c r="F218" s="1319"/>
      <c r="G218" s="1308"/>
      <c r="H218" s="1308"/>
      <c r="I218" s="1322"/>
    </row>
    <row r="219" spans="1:9" x14ac:dyDescent="0.25">
      <c r="A219" s="1216"/>
      <c r="B219" s="1217"/>
      <c r="C219" s="1217"/>
      <c r="D219" s="1218"/>
      <c r="E219" s="563">
        <v>9</v>
      </c>
      <c r="F219" s="1319"/>
      <c r="G219" s="1308"/>
      <c r="H219" s="1308"/>
      <c r="I219" s="1322"/>
    </row>
    <row r="220" spans="1:9" ht="15.75" thickBot="1" x14ac:dyDescent="0.3">
      <c r="A220" s="1219"/>
      <c r="B220" s="1220"/>
      <c r="C220" s="1220"/>
      <c r="D220" s="1221"/>
      <c r="E220" s="564">
        <v>10</v>
      </c>
      <c r="F220" s="1320"/>
      <c r="G220" s="1309"/>
      <c r="H220" s="1309"/>
      <c r="I220" s="1323"/>
    </row>
    <row r="221" spans="1:9" x14ac:dyDescent="0.25">
      <c r="A221" s="1213" t="s">
        <v>15</v>
      </c>
      <c r="B221" s="1214"/>
      <c r="C221" s="1214"/>
      <c r="D221" s="1215"/>
      <c r="E221" s="562">
        <v>0</v>
      </c>
      <c r="F221" s="1304">
        <f>SUM(F141:F151)*'ANTP_2.1.b Veículos'!D12</f>
        <v>0</v>
      </c>
      <c r="G221" s="1307">
        <f>SUM(G141:G151)*'ANTP_2.1.b Veículos'!E12</f>
        <v>0</v>
      </c>
      <c r="H221" s="1307">
        <f>SUM(H141:H151)*'ANTP_2.1.b Veículos'!F12</f>
        <v>0</v>
      </c>
      <c r="I221" s="1321">
        <f>SUM(I141:I151)*'ANTP_2.1.b Veículos'!G12</f>
        <v>0</v>
      </c>
    </row>
    <row r="222" spans="1:9" x14ac:dyDescent="0.25">
      <c r="A222" s="1216"/>
      <c r="B222" s="1217"/>
      <c r="C222" s="1217"/>
      <c r="D222" s="1218"/>
      <c r="E222" s="563">
        <v>1</v>
      </c>
      <c r="F222" s="1305"/>
      <c r="G222" s="1308"/>
      <c r="H222" s="1308"/>
      <c r="I222" s="1322"/>
    </row>
    <row r="223" spans="1:9" x14ac:dyDescent="0.25">
      <c r="A223" s="1216"/>
      <c r="B223" s="1217"/>
      <c r="C223" s="1217"/>
      <c r="D223" s="1218"/>
      <c r="E223" s="563">
        <v>2</v>
      </c>
      <c r="F223" s="1305"/>
      <c r="G223" s="1308"/>
      <c r="H223" s="1308"/>
      <c r="I223" s="1322"/>
    </row>
    <row r="224" spans="1:9" x14ac:dyDescent="0.25">
      <c r="A224" s="1216"/>
      <c r="B224" s="1217"/>
      <c r="C224" s="1217"/>
      <c r="D224" s="1218"/>
      <c r="E224" s="563">
        <v>3</v>
      </c>
      <c r="F224" s="1305"/>
      <c r="G224" s="1308"/>
      <c r="H224" s="1308"/>
      <c r="I224" s="1322"/>
    </row>
    <row r="225" spans="1:9" x14ac:dyDescent="0.25">
      <c r="A225" s="1216"/>
      <c r="B225" s="1217"/>
      <c r="C225" s="1217"/>
      <c r="D225" s="1218"/>
      <c r="E225" s="563">
        <v>4</v>
      </c>
      <c r="F225" s="1305"/>
      <c r="G225" s="1308"/>
      <c r="H225" s="1308"/>
      <c r="I225" s="1322"/>
    </row>
    <row r="226" spans="1:9" x14ac:dyDescent="0.25">
      <c r="A226" s="1216"/>
      <c r="B226" s="1217"/>
      <c r="C226" s="1217"/>
      <c r="D226" s="1218"/>
      <c r="E226" s="563">
        <v>5</v>
      </c>
      <c r="F226" s="1305"/>
      <c r="G226" s="1308"/>
      <c r="H226" s="1308"/>
      <c r="I226" s="1322"/>
    </row>
    <row r="227" spans="1:9" x14ac:dyDescent="0.25">
      <c r="A227" s="1216"/>
      <c r="B227" s="1217"/>
      <c r="C227" s="1217"/>
      <c r="D227" s="1218"/>
      <c r="E227" s="563">
        <v>6</v>
      </c>
      <c r="F227" s="1305"/>
      <c r="G227" s="1308"/>
      <c r="H227" s="1308"/>
      <c r="I227" s="1322"/>
    </row>
    <row r="228" spans="1:9" x14ac:dyDescent="0.25">
      <c r="A228" s="1216"/>
      <c r="B228" s="1217"/>
      <c r="C228" s="1217"/>
      <c r="D228" s="1218"/>
      <c r="E228" s="563">
        <v>7</v>
      </c>
      <c r="F228" s="1305"/>
      <c r="G228" s="1308"/>
      <c r="H228" s="1308"/>
      <c r="I228" s="1322"/>
    </row>
    <row r="229" spans="1:9" x14ac:dyDescent="0.25">
      <c r="A229" s="1216"/>
      <c r="B229" s="1217"/>
      <c r="C229" s="1217"/>
      <c r="D229" s="1218"/>
      <c r="E229" s="563">
        <v>8</v>
      </c>
      <c r="F229" s="1305"/>
      <c r="G229" s="1308"/>
      <c r="H229" s="1308"/>
      <c r="I229" s="1322"/>
    </row>
    <row r="230" spans="1:9" x14ac:dyDescent="0.25">
      <c r="A230" s="1216"/>
      <c r="B230" s="1217"/>
      <c r="C230" s="1217"/>
      <c r="D230" s="1218"/>
      <c r="E230" s="563">
        <v>9</v>
      </c>
      <c r="F230" s="1305"/>
      <c r="G230" s="1308"/>
      <c r="H230" s="1308"/>
      <c r="I230" s="1322"/>
    </row>
    <row r="231" spans="1:9" ht="15.75" thickBot="1" x14ac:dyDescent="0.3">
      <c r="A231" s="1219"/>
      <c r="B231" s="1220"/>
      <c r="C231" s="1220"/>
      <c r="D231" s="1221"/>
      <c r="E231" s="564">
        <v>10</v>
      </c>
      <c r="F231" s="1306"/>
      <c r="G231" s="1309"/>
      <c r="H231" s="1309"/>
      <c r="I231" s="1323"/>
    </row>
    <row r="232" spans="1:9" x14ac:dyDescent="0.25">
      <c r="A232" s="1213" t="s">
        <v>16</v>
      </c>
      <c r="B232" s="1214"/>
      <c r="C232" s="1214"/>
      <c r="D232" s="1215"/>
      <c r="E232" s="562">
        <v>0</v>
      </c>
      <c r="F232" s="1318">
        <f>SUM(F152:F164)*'ANTP_2.1.b Veículos'!D13</f>
        <v>0</v>
      </c>
      <c r="G232" s="1307">
        <f>SUM(G152:G164)*'ANTP_2.1.b Veículos'!E13</f>
        <v>0</v>
      </c>
      <c r="H232" s="1307">
        <f>SUM(H152:H164)*'ANTP_2.1.b Veículos'!F13</f>
        <v>0</v>
      </c>
      <c r="I232" s="1321">
        <f>SUM(I152:I164)*'ANTP_2.1.b Veículos'!G13</f>
        <v>0</v>
      </c>
    </row>
    <row r="233" spans="1:9" x14ac:dyDescent="0.25">
      <c r="A233" s="1216"/>
      <c r="B233" s="1217"/>
      <c r="C233" s="1217"/>
      <c r="D233" s="1218"/>
      <c r="E233" s="563">
        <v>1</v>
      </c>
      <c r="F233" s="1319"/>
      <c r="G233" s="1308"/>
      <c r="H233" s="1308"/>
      <c r="I233" s="1322"/>
    </row>
    <row r="234" spans="1:9" x14ac:dyDescent="0.25">
      <c r="A234" s="1216"/>
      <c r="B234" s="1217"/>
      <c r="C234" s="1217"/>
      <c r="D234" s="1218"/>
      <c r="E234" s="563">
        <v>2</v>
      </c>
      <c r="F234" s="1319"/>
      <c r="G234" s="1308"/>
      <c r="H234" s="1308"/>
      <c r="I234" s="1322"/>
    </row>
    <row r="235" spans="1:9" x14ac:dyDescent="0.25">
      <c r="A235" s="1216"/>
      <c r="B235" s="1217"/>
      <c r="C235" s="1217"/>
      <c r="D235" s="1218"/>
      <c r="E235" s="563">
        <v>3</v>
      </c>
      <c r="F235" s="1319"/>
      <c r="G235" s="1308"/>
      <c r="H235" s="1308"/>
      <c r="I235" s="1322"/>
    </row>
    <row r="236" spans="1:9" x14ac:dyDescent="0.25">
      <c r="A236" s="1216"/>
      <c r="B236" s="1217"/>
      <c r="C236" s="1217"/>
      <c r="D236" s="1218"/>
      <c r="E236" s="563">
        <v>4</v>
      </c>
      <c r="F236" s="1319"/>
      <c r="G236" s="1308"/>
      <c r="H236" s="1308"/>
      <c r="I236" s="1322"/>
    </row>
    <row r="237" spans="1:9" x14ac:dyDescent="0.25">
      <c r="A237" s="1216"/>
      <c r="B237" s="1217"/>
      <c r="C237" s="1217"/>
      <c r="D237" s="1218"/>
      <c r="E237" s="563">
        <v>5</v>
      </c>
      <c r="F237" s="1319"/>
      <c r="G237" s="1308"/>
      <c r="H237" s="1308"/>
      <c r="I237" s="1322"/>
    </row>
    <row r="238" spans="1:9" x14ac:dyDescent="0.25">
      <c r="A238" s="1216"/>
      <c r="B238" s="1217"/>
      <c r="C238" s="1217"/>
      <c r="D238" s="1218"/>
      <c r="E238" s="563">
        <v>6</v>
      </c>
      <c r="F238" s="1319"/>
      <c r="G238" s="1308"/>
      <c r="H238" s="1308"/>
      <c r="I238" s="1322"/>
    </row>
    <row r="239" spans="1:9" x14ac:dyDescent="0.25">
      <c r="A239" s="1216"/>
      <c r="B239" s="1217"/>
      <c r="C239" s="1217"/>
      <c r="D239" s="1218"/>
      <c r="E239" s="563">
        <v>7</v>
      </c>
      <c r="F239" s="1319"/>
      <c r="G239" s="1308"/>
      <c r="H239" s="1308"/>
      <c r="I239" s="1322"/>
    </row>
    <row r="240" spans="1:9" x14ac:dyDescent="0.25">
      <c r="A240" s="1216"/>
      <c r="B240" s="1217"/>
      <c r="C240" s="1217"/>
      <c r="D240" s="1218"/>
      <c r="E240" s="563">
        <v>8</v>
      </c>
      <c r="F240" s="1319"/>
      <c r="G240" s="1308"/>
      <c r="H240" s="1308"/>
      <c r="I240" s="1322"/>
    </row>
    <row r="241" spans="1:9" x14ac:dyDescent="0.25">
      <c r="A241" s="1216"/>
      <c r="B241" s="1217"/>
      <c r="C241" s="1217"/>
      <c r="D241" s="1218"/>
      <c r="E241" s="563">
        <v>9</v>
      </c>
      <c r="F241" s="1319"/>
      <c r="G241" s="1308"/>
      <c r="H241" s="1308"/>
      <c r="I241" s="1322"/>
    </row>
    <row r="242" spans="1:9" x14ac:dyDescent="0.25">
      <c r="A242" s="1216"/>
      <c r="B242" s="1217"/>
      <c r="C242" s="1217"/>
      <c r="D242" s="1218"/>
      <c r="E242" s="563">
        <v>10</v>
      </c>
      <c r="F242" s="1319"/>
      <c r="G242" s="1308"/>
      <c r="H242" s="1308"/>
      <c r="I242" s="1322"/>
    </row>
    <row r="243" spans="1:9" x14ac:dyDescent="0.25">
      <c r="A243" s="1216"/>
      <c r="B243" s="1217"/>
      <c r="C243" s="1217"/>
      <c r="D243" s="1218"/>
      <c r="E243" s="563">
        <v>11</v>
      </c>
      <c r="F243" s="1319"/>
      <c r="G243" s="1308"/>
      <c r="H243" s="1308"/>
      <c r="I243" s="1322"/>
    </row>
    <row r="244" spans="1:9" ht="15.75" thickBot="1" x14ac:dyDescent="0.3">
      <c r="A244" s="1219"/>
      <c r="B244" s="1220"/>
      <c r="C244" s="1220"/>
      <c r="D244" s="1221"/>
      <c r="E244" s="564">
        <v>12</v>
      </c>
      <c r="F244" s="1320"/>
      <c r="G244" s="1309"/>
      <c r="H244" s="1309"/>
      <c r="I244" s="1323"/>
    </row>
    <row r="245" spans="1:9" x14ac:dyDescent="0.25">
      <c r="A245" s="1310" t="s">
        <v>17</v>
      </c>
      <c r="B245" s="1311"/>
      <c r="C245" s="1311"/>
      <c r="D245" s="1311"/>
      <c r="E245" s="565">
        <v>0</v>
      </c>
      <c r="F245" s="1327">
        <f>SUM(F165:F177)*'ANTP_2.1.b Veículos'!D14</f>
        <v>0</v>
      </c>
      <c r="G245" s="1312">
        <f>SUM(G165:G177)*'ANTP_2.1.b Veículos'!E14</f>
        <v>0</v>
      </c>
      <c r="H245" s="1312">
        <f>SUM(H165:H177)*'ANTP_2.1.b Veículos'!F14</f>
        <v>0</v>
      </c>
      <c r="I245" s="1315">
        <f>SUM(I165:I177)*'ANTP_2.1.b Veículos'!G14</f>
        <v>0</v>
      </c>
    </row>
    <row r="246" spans="1:9" x14ac:dyDescent="0.25">
      <c r="A246" s="1257"/>
      <c r="B246" s="1258"/>
      <c r="C246" s="1258"/>
      <c r="D246" s="1258"/>
      <c r="E246" s="563">
        <v>1</v>
      </c>
      <c r="F246" s="1305"/>
      <c r="G246" s="1313"/>
      <c r="H246" s="1313"/>
      <c r="I246" s="1316"/>
    </row>
    <row r="247" spans="1:9" x14ac:dyDescent="0.25">
      <c r="A247" s="1257"/>
      <c r="B247" s="1258"/>
      <c r="C247" s="1258"/>
      <c r="D247" s="1258"/>
      <c r="E247" s="563">
        <v>2</v>
      </c>
      <c r="F247" s="1305"/>
      <c r="G247" s="1313"/>
      <c r="H247" s="1313"/>
      <c r="I247" s="1316"/>
    </row>
    <row r="248" spans="1:9" x14ac:dyDescent="0.25">
      <c r="A248" s="1257"/>
      <c r="B248" s="1258"/>
      <c r="C248" s="1258"/>
      <c r="D248" s="1258"/>
      <c r="E248" s="563">
        <v>3</v>
      </c>
      <c r="F248" s="1305"/>
      <c r="G248" s="1313"/>
      <c r="H248" s="1313"/>
      <c r="I248" s="1316"/>
    </row>
    <row r="249" spans="1:9" x14ac:dyDescent="0.25">
      <c r="A249" s="1257"/>
      <c r="B249" s="1258"/>
      <c r="C249" s="1258"/>
      <c r="D249" s="1258"/>
      <c r="E249" s="563">
        <v>4</v>
      </c>
      <c r="F249" s="1305"/>
      <c r="G249" s="1313"/>
      <c r="H249" s="1313"/>
      <c r="I249" s="1316"/>
    </row>
    <row r="250" spans="1:9" x14ac:dyDescent="0.25">
      <c r="A250" s="1257"/>
      <c r="B250" s="1258"/>
      <c r="C250" s="1258"/>
      <c r="D250" s="1258"/>
      <c r="E250" s="563">
        <v>5</v>
      </c>
      <c r="F250" s="1305"/>
      <c r="G250" s="1313"/>
      <c r="H250" s="1313"/>
      <c r="I250" s="1316"/>
    </row>
    <row r="251" spans="1:9" x14ac:dyDescent="0.25">
      <c r="A251" s="1257"/>
      <c r="B251" s="1258"/>
      <c r="C251" s="1258"/>
      <c r="D251" s="1258"/>
      <c r="E251" s="563">
        <v>6</v>
      </c>
      <c r="F251" s="1305"/>
      <c r="G251" s="1313"/>
      <c r="H251" s="1313"/>
      <c r="I251" s="1316"/>
    </row>
    <row r="252" spans="1:9" x14ac:dyDescent="0.25">
      <c r="A252" s="1257"/>
      <c r="B252" s="1258"/>
      <c r="C252" s="1258"/>
      <c r="D252" s="1258"/>
      <c r="E252" s="563">
        <v>7</v>
      </c>
      <c r="F252" s="1305"/>
      <c r="G252" s="1313"/>
      <c r="H252" s="1313"/>
      <c r="I252" s="1316"/>
    </row>
    <row r="253" spans="1:9" x14ac:dyDescent="0.25">
      <c r="A253" s="1257"/>
      <c r="B253" s="1258"/>
      <c r="C253" s="1258"/>
      <c r="D253" s="1258"/>
      <c r="E253" s="563">
        <v>8</v>
      </c>
      <c r="F253" s="1305"/>
      <c r="G253" s="1313"/>
      <c r="H253" s="1313"/>
      <c r="I253" s="1316"/>
    </row>
    <row r="254" spans="1:9" x14ac:dyDescent="0.25">
      <c r="A254" s="1257"/>
      <c r="B254" s="1258"/>
      <c r="C254" s="1258"/>
      <c r="D254" s="1258"/>
      <c r="E254" s="563">
        <v>9</v>
      </c>
      <c r="F254" s="1305"/>
      <c r="G254" s="1313"/>
      <c r="H254" s="1313"/>
      <c r="I254" s="1316"/>
    </row>
    <row r="255" spans="1:9" x14ac:dyDescent="0.25">
      <c r="A255" s="1257"/>
      <c r="B255" s="1258"/>
      <c r="C255" s="1258"/>
      <c r="D255" s="1258"/>
      <c r="E255" s="563">
        <v>10</v>
      </c>
      <c r="F255" s="1305"/>
      <c r="G255" s="1313"/>
      <c r="H255" s="1313"/>
      <c r="I255" s="1316"/>
    </row>
    <row r="256" spans="1:9" x14ac:dyDescent="0.25">
      <c r="A256" s="1257"/>
      <c r="B256" s="1258"/>
      <c r="C256" s="1258"/>
      <c r="D256" s="1258"/>
      <c r="E256" s="563">
        <v>11</v>
      </c>
      <c r="F256" s="1305"/>
      <c r="G256" s="1313"/>
      <c r="H256" s="1313"/>
      <c r="I256" s="1316"/>
    </row>
    <row r="257" spans="1:9" ht="15.75" thickBot="1" x14ac:dyDescent="0.3">
      <c r="A257" s="1259"/>
      <c r="B257" s="1260"/>
      <c r="C257" s="1260"/>
      <c r="D257" s="1260"/>
      <c r="E257" s="564">
        <v>12</v>
      </c>
      <c r="F257" s="1306"/>
      <c r="G257" s="1314"/>
      <c r="H257" s="1314"/>
      <c r="I257" s="1317"/>
    </row>
    <row r="259" spans="1:9" x14ac:dyDescent="0.25">
      <c r="A259" s="14" t="s">
        <v>696</v>
      </c>
      <c r="B259" s="61" t="s">
        <v>735</v>
      </c>
    </row>
    <row r="260" spans="1:9" ht="21" x14ac:dyDescent="0.25">
      <c r="A260" s="1283" t="s">
        <v>141</v>
      </c>
      <c r="B260" s="1283"/>
      <c r="C260" s="1283"/>
      <c r="D260" s="1283"/>
      <c r="E260" s="1283"/>
      <c r="F260" s="1284"/>
      <c r="G260" s="306">
        <f>SUM(F182:I257)*('ANTP_2.1.c Insumos'!F64/100)/12</f>
        <v>10612.560996969691</v>
      </c>
    </row>
  </sheetData>
  <sheetProtection algorithmName="SHA-512" hashValue="SzCDmxdX8A+EKT0SQYZ7LX+QvgWFueKp6olJP21sAyQQElRf+QypmBIOCAQA73BXjj09ewMcbsRbR7ujicYT8A==" saltValue="GySoIFN5LCLO4Im9ptDfng==" spinCount="100000" sheet="1" objects="1" scenarios="1"/>
  <mergeCells count="73">
    <mergeCell ref="A152:D164"/>
    <mergeCell ref="I188:I198"/>
    <mergeCell ref="A199:D209"/>
    <mergeCell ref="A210:D220"/>
    <mergeCell ref="F210:F220"/>
    <mergeCell ref="G210:G220"/>
    <mergeCell ref="H210:H220"/>
    <mergeCell ref="I210:I220"/>
    <mergeCell ref="F199:F209"/>
    <mergeCell ref="G199:G209"/>
    <mergeCell ref="H199:H209"/>
    <mergeCell ref="I199:I209"/>
    <mergeCell ref="A188:D198"/>
    <mergeCell ref="F188:F198"/>
    <mergeCell ref="G188:G198"/>
    <mergeCell ref="H188:H198"/>
    <mergeCell ref="A165:D177"/>
    <mergeCell ref="F180:G180"/>
    <mergeCell ref="H180:I180"/>
    <mergeCell ref="A182:D187"/>
    <mergeCell ref="A180:D181"/>
    <mergeCell ref="E180:E181"/>
    <mergeCell ref="I245:I257"/>
    <mergeCell ref="F232:F244"/>
    <mergeCell ref="G232:G244"/>
    <mergeCell ref="H182:H187"/>
    <mergeCell ref="I182:I187"/>
    <mergeCell ref="F182:F187"/>
    <mergeCell ref="G182:G187"/>
    <mergeCell ref="I221:I231"/>
    <mergeCell ref="F245:F257"/>
    <mergeCell ref="I232:I244"/>
    <mergeCell ref="A260:F260"/>
    <mergeCell ref="A232:D244"/>
    <mergeCell ref="F221:F231"/>
    <mergeCell ref="G221:G231"/>
    <mergeCell ref="H221:H231"/>
    <mergeCell ref="H232:H244"/>
    <mergeCell ref="A221:D231"/>
    <mergeCell ref="A245:D257"/>
    <mergeCell ref="G245:G257"/>
    <mergeCell ref="H245:H257"/>
    <mergeCell ref="J19:J20"/>
    <mergeCell ref="A102:D107"/>
    <mergeCell ref="A141:D151"/>
    <mergeCell ref="F100:G100"/>
    <mergeCell ref="H100:I100"/>
    <mergeCell ref="A21:D26"/>
    <mergeCell ref="A100:D101"/>
    <mergeCell ref="E100:E101"/>
    <mergeCell ref="A84:D96"/>
    <mergeCell ref="A60:D70"/>
    <mergeCell ref="E19:E20"/>
    <mergeCell ref="F19:G19"/>
    <mergeCell ref="H19:I19"/>
    <mergeCell ref="A130:D140"/>
    <mergeCell ref="A119:D129"/>
    <mergeCell ref="A108:D118"/>
    <mergeCell ref="A11:D11"/>
    <mergeCell ref="A8:D9"/>
    <mergeCell ref="E8:E9"/>
    <mergeCell ref="F8:F9"/>
    <mergeCell ref="A10:D10"/>
    <mergeCell ref="A12:D12"/>
    <mergeCell ref="A19:D20"/>
    <mergeCell ref="A71:D83"/>
    <mergeCell ref="A13:D13"/>
    <mergeCell ref="A14:D14"/>
    <mergeCell ref="A15:D15"/>
    <mergeCell ref="A16:D16"/>
    <mergeCell ref="A38:D48"/>
    <mergeCell ref="A49:D59"/>
    <mergeCell ref="A27:D37"/>
  </mergeCells>
  <pageMargins left="0.78740157499999996" right="0.78740157499999996" top="0.984251969" bottom="0.984251969" header="0.49212598499999999" footer="0.49212598499999999"/>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39997558519241921"/>
  </sheetPr>
  <dimension ref="A1:M22"/>
  <sheetViews>
    <sheetView workbookViewId="0"/>
  </sheetViews>
  <sheetFormatPr defaultRowHeight="12.75" x14ac:dyDescent="0.2"/>
  <cols>
    <col min="1" max="3" width="9.140625" customWidth="1"/>
    <col min="4" max="4" width="15.42578125" bestFit="1" customWidth="1"/>
    <col min="5" max="5" width="14.140625" customWidth="1"/>
    <col min="6" max="6" width="15.42578125" bestFit="1" customWidth="1"/>
    <col min="7" max="7" width="28.7109375" customWidth="1"/>
  </cols>
  <sheetData>
    <row r="1" spans="1:13" ht="15" x14ac:dyDescent="0.25">
      <c r="B1" s="560" t="s">
        <v>1182</v>
      </c>
    </row>
    <row r="3" spans="1:13" ht="15" x14ac:dyDescent="0.25">
      <c r="A3" s="12" t="s">
        <v>689</v>
      </c>
      <c r="E3" s="60"/>
      <c r="F3" s="60"/>
      <c r="G3" s="60"/>
      <c r="H3" s="60"/>
      <c r="I3" s="60"/>
      <c r="J3" s="60"/>
      <c r="K3" s="60"/>
    </row>
    <row r="4" spans="1:13" ht="15" x14ac:dyDescent="0.25">
      <c r="A4" s="61"/>
      <c r="B4" s="61"/>
      <c r="C4" s="60"/>
      <c r="D4" s="60"/>
      <c r="E4" s="60"/>
      <c r="F4" s="60"/>
      <c r="G4" s="60"/>
      <c r="H4" s="60"/>
      <c r="I4" s="60"/>
      <c r="J4" s="60"/>
      <c r="K4" s="60"/>
    </row>
    <row r="5" spans="1:13" ht="15" x14ac:dyDescent="0.25">
      <c r="A5" s="14" t="s">
        <v>698</v>
      </c>
      <c r="B5" s="61" t="s">
        <v>697</v>
      </c>
      <c r="C5" s="60"/>
      <c r="D5" s="60"/>
      <c r="E5" s="60"/>
      <c r="F5" s="60"/>
      <c r="G5" s="60"/>
      <c r="H5" s="60"/>
      <c r="I5" s="60"/>
      <c r="J5" s="60"/>
      <c r="K5" s="60"/>
      <c r="L5" s="60"/>
      <c r="M5" s="60"/>
    </row>
    <row r="6" spans="1:13" ht="15" x14ac:dyDescent="0.25">
      <c r="A6" s="61"/>
      <c r="B6" s="61"/>
      <c r="C6" s="60"/>
      <c r="D6" s="60"/>
      <c r="E6" s="60"/>
      <c r="F6" s="60"/>
      <c r="G6" s="60"/>
      <c r="H6" s="60"/>
      <c r="I6" s="60"/>
      <c r="J6" s="60"/>
      <c r="K6" s="60"/>
      <c r="L6" s="60"/>
      <c r="M6" s="60"/>
    </row>
    <row r="7" spans="1:13" ht="15" x14ac:dyDescent="0.25">
      <c r="A7" s="14" t="s">
        <v>699</v>
      </c>
      <c r="B7" s="61" t="s">
        <v>144</v>
      </c>
      <c r="C7" s="60"/>
      <c r="D7" s="60"/>
      <c r="E7" s="60"/>
      <c r="F7" s="60"/>
      <c r="G7" s="60"/>
    </row>
    <row r="8" spans="1:13" ht="15" x14ac:dyDescent="0.25">
      <c r="A8" s="61"/>
      <c r="B8" s="61"/>
      <c r="C8" s="60"/>
      <c r="D8" s="60"/>
      <c r="E8" s="60"/>
      <c r="F8" s="60"/>
      <c r="G8" s="60"/>
    </row>
    <row r="9" spans="1:13" ht="15.75" x14ac:dyDescent="0.25">
      <c r="A9" s="1331"/>
      <c r="B9" s="1332"/>
      <c r="C9" s="1332"/>
      <c r="D9" s="1333"/>
      <c r="E9" s="426" t="s">
        <v>145</v>
      </c>
      <c r="F9" s="427" t="s">
        <v>146</v>
      </c>
      <c r="G9" s="60"/>
    </row>
    <row r="10" spans="1:13" ht="33.75" customHeight="1" x14ac:dyDescent="0.25">
      <c r="A10" s="1334" t="s">
        <v>701</v>
      </c>
      <c r="B10" s="1335"/>
      <c r="C10" s="1335"/>
      <c r="D10" s="1336"/>
      <c r="E10" s="428" t="s">
        <v>226</v>
      </c>
      <c r="F10" s="429">
        <f>IF('ANTP_2.1.c Insumos'!F67="","Preencher valor do CIT em Dados de Insumo",('ANTP_2.1.c Insumos'!F67/('ANTP_2.1.b Veículos'!D60*SUM('ANTP_1.3 Frota Total'!C21:F27))))</f>
        <v>3.1882669537136706E-2</v>
      </c>
      <c r="G10" s="60"/>
    </row>
    <row r="11" spans="1:13" ht="36" customHeight="1" x14ac:dyDescent="0.25">
      <c r="A11" s="1334" t="s">
        <v>702</v>
      </c>
      <c r="B11" s="1335"/>
      <c r="C11" s="1335"/>
      <c r="D11" s="1336"/>
      <c r="E11" s="430" t="s">
        <v>147</v>
      </c>
      <c r="F11" s="429">
        <f>IF('ANTP_2.1.c Insumos'!F68="","Preencher valor do CIE em Dados de Insumo",(0.5*'ANTP_2.1.c Insumos'!F68/('ANTP_2.1.b Veículos'!D60*SUM('ANTP_1.3 Frota Total'!C21:F27))))</f>
        <v>1.6047489358058518E-2</v>
      </c>
      <c r="G11" s="60"/>
    </row>
    <row r="12" spans="1:13" ht="51.75" customHeight="1" x14ac:dyDescent="0.25">
      <c r="A12" s="1334" t="s">
        <v>703</v>
      </c>
      <c r="B12" s="1335"/>
      <c r="C12" s="1335"/>
      <c r="D12" s="1336"/>
      <c r="E12" s="430" t="s">
        <v>148</v>
      </c>
      <c r="F12" s="429">
        <f>IF('ANTP_2.1.c Insumos'!F71="","Preencher valor do CIG em Dados de Insumo",(0.5*'ANTP_2.1.c Insumos'!F71/('ANTP_2.1.b Veículos'!D60*SUM('ANTP_1.3 Frota Total'!C21:F27))))</f>
        <v>5.4700808542910264E-3</v>
      </c>
      <c r="G12" s="60"/>
    </row>
    <row r="13" spans="1:13" ht="15" x14ac:dyDescent="0.25">
      <c r="A13" s="61"/>
      <c r="B13" s="61"/>
      <c r="C13" s="60"/>
      <c r="D13" s="60"/>
      <c r="E13" s="60"/>
      <c r="F13" s="60"/>
      <c r="G13" s="60"/>
      <c r="H13" s="60"/>
      <c r="I13" s="60"/>
      <c r="J13" s="60"/>
      <c r="K13" s="60"/>
    </row>
    <row r="14" spans="1:13" ht="15" x14ac:dyDescent="0.25">
      <c r="A14" s="61"/>
      <c r="B14" s="61"/>
      <c r="C14" s="60"/>
      <c r="D14" s="60"/>
      <c r="E14" s="60"/>
      <c r="F14" s="60"/>
      <c r="G14" s="60"/>
      <c r="H14" s="60"/>
      <c r="I14" s="60"/>
      <c r="J14" s="60"/>
      <c r="K14" s="60"/>
    </row>
    <row r="15" spans="1:13" ht="15.75" x14ac:dyDescent="0.25">
      <c r="A15" s="1328"/>
      <c r="B15" s="1329"/>
      <c r="C15" s="1329"/>
      <c r="D15" s="1330"/>
      <c r="E15" s="431" t="s">
        <v>145</v>
      </c>
      <c r="F15" s="432" t="s">
        <v>146</v>
      </c>
      <c r="G15" s="60"/>
    </row>
    <row r="16" spans="1:13" ht="30.75" customHeight="1" x14ac:dyDescent="0.2">
      <c r="A16" s="1205" t="s">
        <v>701</v>
      </c>
      <c r="B16" s="1206"/>
      <c r="C16" s="1206"/>
      <c r="D16" s="1207"/>
      <c r="E16" s="433" t="s">
        <v>226</v>
      </c>
      <c r="F16" s="434">
        <v>0.17</v>
      </c>
      <c r="G16" s="71"/>
    </row>
    <row r="17" spans="1:11" ht="42" customHeight="1" x14ac:dyDescent="0.2">
      <c r="A17" s="1205" t="s">
        <v>702</v>
      </c>
      <c r="B17" s="1206"/>
      <c r="C17" s="1206"/>
      <c r="D17" s="1207"/>
      <c r="E17" s="435" t="s">
        <v>147</v>
      </c>
      <c r="F17" s="434">
        <v>4.4999999999999998E-2</v>
      </c>
      <c r="G17" s="71"/>
    </row>
    <row r="18" spans="1:11" ht="57.75" customHeight="1" x14ac:dyDescent="0.2">
      <c r="A18" s="1205" t="s">
        <v>703</v>
      </c>
      <c r="B18" s="1206"/>
      <c r="C18" s="1206"/>
      <c r="D18" s="1207"/>
      <c r="E18" s="435" t="s">
        <v>148</v>
      </c>
      <c r="F18" s="434">
        <v>1.37E-2</v>
      </c>
      <c r="G18" s="71"/>
    </row>
    <row r="19" spans="1:11" ht="15" x14ac:dyDescent="0.25">
      <c r="A19" s="61"/>
      <c r="B19" s="61"/>
      <c r="C19" s="61"/>
      <c r="D19" s="61"/>
      <c r="E19" s="60"/>
      <c r="F19" s="60"/>
      <c r="G19" s="60"/>
    </row>
    <row r="20" spans="1:11" ht="15" x14ac:dyDescent="0.25">
      <c r="A20" s="14" t="s">
        <v>700</v>
      </c>
      <c r="B20" s="61" t="s">
        <v>704</v>
      </c>
      <c r="C20" s="60"/>
      <c r="D20" s="60"/>
      <c r="E20" s="60"/>
      <c r="F20" s="60"/>
      <c r="G20" s="60"/>
    </row>
    <row r="21" spans="1:11" ht="15" x14ac:dyDescent="0.25">
      <c r="A21" s="60"/>
      <c r="B21" s="60"/>
      <c r="C21" s="60"/>
      <c r="D21" s="60"/>
      <c r="E21" s="263"/>
      <c r="F21" s="60"/>
      <c r="G21" s="60"/>
      <c r="H21" s="60"/>
      <c r="I21" s="60"/>
      <c r="J21" s="60"/>
      <c r="K21" s="60"/>
    </row>
    <row r="22" spans="1:11" ht="15" x14ac:dyDescent="0.25">
      <c r="A22" s="60"/>
      <c r="B22" s="60"/>
      <c r="C22" s="436" t="s">
        <v>149</v>
      </c>
      <c r="D22" s="437">
        <f>IF(F10="Preencher valor do CIT em Dados de Insumo",(('Ref_A.X.b.  Remun garagem equip'!F16)*('ANTP_2.1.c Insumos'!F64/100)*'ANTP_2.1.b Veículos'!D60*SUM('ANTP_1.3 Frota Total'!C21:F27)/12),(('Ref_A.X.b.  Remun garagem equip'!F10)*('ANTP_2.1.c Insumos'!F64/100)*'ANTP_2.1.b Veículos'!D60*SUM('ANTP_1.3 Frota Total'!C21:F27)/12))+(IF(F11="Preencher valor do CIE em Dados de Insumo",(('Ref_A.X.b.  Remun garagem equip'!F17)*('ANTP_2.1.c Insumos'!F64/100)*'ANTP_2.1.b Veículos'!D60*SUM('ANTP_1.3 Frota Total'!C21:F27)/12),(('Ref_A.X.b.  Remun garagem equip'!F11)*('ANTP_2.1.c Insumos'!F64/100)*'ANTP_2.1.b Veículos'!D60*SUM('ANTP_1.3 Frota Total'!C21:F27)/12)))+(IF(F12="Preencher valor do CIG em Dados de Insumo",(('Ref_A.X.b.  Remun garagem equip'!F18)*('ANTP_2.1.c Insumos'!F64/100)*'ANTP_2.1.b Veículos'!D60*SUM('ANTP_1.3 Frota Total'!C21:F27)/12),(('Ref_A.X.b.  Remun garagem equip'!F12)*('ANTP_2.1.c Insumos'!F64/100)*'ANTP_2.1.b Veículos'!D60*SUM('ANTP_1.3 Frota Total'!C21:F27)/12)))</f>
        <v>2552.952698916667</v>
      </c>
      <c r="E22" s="438"/>
      <c r="F22" s="413"/>
      <c r="G22" s="60"/>
      <c r="H22" s="60"/>
      <c r="I22" s="60"/>
      <c r="J22" s="60"/>
      <c r="K22" s="60"/>
    </row>
  </sheetData>
  <sheetProtection algorithmName="SHA-512" hashValue="5DTwqUaT+HlOtRVfbRbSkx2h7OqoFSkdIy4n/36jd0il8EjhELMRiECir8jl6nA9jFjKyP31FScUufV4oGh0Bg==" saltValue="xN8DFFn2GMTWzdSnJsJUKA==" spinCount="100000" sheet="1" objects="1" scenarios="1"/>
  <mergeCells count="8">
    <mergeCell ref="A15:D15"/>
    <mergeCell ref="A16:D16"/>
    <mergeCell ref="A17:D17"/>
    <mergeCell ref="A18:D18"/>
    <mergeCell ref="A9:D9"/>
    <mergeCell ref="A10:D10"/>
    <mergeCell ref="A11:D11"/>
    <mergeCell ref="A12:D12"/>
  </mergeCells>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39997558519241921"/>
  </sheetPr>
  <dimension ref="A1:E11"/>
  <sheetViews>
    <sheetView workbookViewId="0"/>
  </sheetViews>
  <sheetFormatPr defaultColWidth="11.42578125" defaultRowHeight="15" x14ac:dyDescent="0.25"/>
  <cols>
    <col min="1" max="1" width="7" style="60" customWidth="1"/>
    <col min="2" max="2" width="2.7109375" style="60" customWidth="1"/>
    <col min="3" max="3" width="5.5703125" style="60" bestFit="1" customWidth="1"/>
    <col min="4" max="4" width="22.140625" style="60" customWidth="1"/>
    <col min="5" max="5" width="24.5703125" style="60" customWidth="1"/>
    <col min="6" max="6" width="34.28515625" style="60" customWidth="1"/>
    <col min="7" max="16384" width="11.42578125" style="60"/>
  </cols>
  <sheetData>
    <row r="1" spans="1:5" x14ac:dyDescent="0.25">
      <c r="B1" s="560" t="s">
        <v>1182</v>
      </c>
    </row>
    <row r="3" spans="1:5" x14ac:dyDescent="0.25">
      <c r="A3" s="12" t="s">
        <v>689</v>
      </c>
      <c r="B3"/>
    </row>
    <row r="4" spans="1:5" x14ac:dyDescent="0.25">
      <c r="A4" s="61"/>
      <c r="B4" s="61"/>
    </row>
    <row r="5" spans="1:5" x14ac:dyDescent="0.25">
      <c r="A5" s="14" t="s">
        <v>706</v>
      </c>
      <c r="B5" s="61" t="s">
        <v>705</v>
      </c>
    </row>
    <row r="7" spans="1:5" x14ac:dyDescent="0.25">
      <c r="A7" s="14" t="s">
        <v>707</v>
      </c>
      <c r="B7" s="61" t="s">
        <v>708</v>
      </c>
    </row>
    <row r="8" spans="1:5" x14ac:dyDescent="0.25">
      <c r="E8" s="413"/>
    </row>
    <row r="9" spans="1:5" x14ac:dyDescent="0.25">
      <c r="C9" s="422" t="s">
        <v>232</v>
      </c>
      <c r="D9" s="423">
        <f>IF('ANTP_2.1.c Insumos'!F74="","Preencher valor do CEB em Dados de Insumo",(0.5*'ANTP_2.1.c Insumos'!F74/('ANTP_2.1.b Veículos'!D60*SUM('ANTP_1.3 Frota Total'!C21:F27))))</f>
        <v>1.9918998923573735E-2</v>
      </c>
      <c r="E9" s="413"/>
    </row>
    <row r="11" spans="1:5" x14ac:dyDescent="0.25">
      <c r="C11" s="424" t="s">
        <v>232</v>
      </c>
      <c r="D11" s="425">
        <v>0.02</v>
      </c>
      <c r="E11" s="71"/>
    </row>
  </sheetData>
  <sheetProtection algorithmName="SHA-512" hashValue="7LMMVH74XQWYYKJoVSAOMiCIaXJAV6qppbpM6VdoORXCVQUk3RyXzs9BkxJEEqUUACs66AdYLJaUImnEd3rOeg==" saltValue="0HyQfe2VD0kC5tjSdGsl9Q==" spinCount="100000" sheet="1" objects="1" scenarios="1"/>
  <pageMargins left="0.78740157499999996" right="0.78740157499999996" top="0.984251969" bottom="0.984251969" header="0.49212598499999999" footer="0.49212598499999999"/>
  <pageSetup paperSize="9" orientation="portrait" verticalDpi="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39997558519241921"/>
  </sheetPr>
  <dimension ref="A1:E9"/>
  <sheetViews>
    <sheetView workbookViewId="0"/>
  </sheetViews>
  <sheetFormatPr defaultColWidth="11.42578125" defaultRowHeight="15" x14ac:dyDescent="0.25"/>
  <cols>
    <col min="1" max="1" width="7" style="60" customWidth="1"/>
    <col min="2" max="2" width="2.7109375" style="60" customWidth="1"/>
    <col min="3" max="3" width="5.5703125" style="60" bestFit="1" customWidth="1"/>
    <col min="4" max="4" width="22.140625" style="60" customWidth="1"/>
    <col min="5" max="5" width="24.5703125" style="60" customWidth="1"/>
    <col min="6" max="6" width="8.28515625" style="60" customWidth="1"/>
    <col min="7" max="7" width="1.42578125" style="60" customWidth="1"/>
    <col min="8" max="8" width="8.140625" style="60" customWidth="1"/>
    <col min="9" max="9" width="38.7109375" style="60" bestFit="1" customWidth="1"/>
    <col min="10" max="10" width="1.140625" style="60" customWidth="1"/>
    <col min="11" max="16384" width="11.42578125" style="60"/>
  </cols>
  <sheetData>
    <row r="1" spans="1:5" x14ac:dyDescent="0.25">
      <c r="B1" s="560" t="s">
        <v>1182</v>
      </c>
    </row>
    <row r="3" spans="1:5" x14ac:dyDescent="0.25">
      <c r="A3" s="12" t="s">
        <v>689</v>
      </c>
      <c r="B3"/>
    </row>
    <row r="4" spans="1:5" x14ac:dyDescent="0.25">
      <c r="A4" s="61"/>
      <c r="B4" s="61"/>
    </row>
    <row r="5" spans="1:5" x14ac:dyDescent="0.25">
      <c r="A5" s="14" t="s">
        <v>709</v>
      </c>
      <c r="B5" s="61" t="s">
        <v>710</v>
      </c>
    </row>
    <row r="6" spans="1:5" x14ac:dyDescent="0.25">
      <c r="A6" s="14"/>
      <c r="B6" s="61"/>
    </row>
    <row r="7" spans="1:5" x14ac:dyDescent="0.25">
      <c r="A7" s="14" t="s">
        <v>711</v>
      </c>
      <c r="B7" s="61" t="s">
        <v>712</v>
      </c>
    </row>
    <row r="9" spans="1:5" x14ac:dyDescent="0.25">
      <c r="C9" s="420" t="s">
        <v>235</v>
      </c>
      <c r="D9" s="421">
        <f>0.5*('ANTP_1.3 Frota Total'!C114*'ANTP_2.1.b Veículos'!D19+'ANTP_1.3 Frota Total'!C115*'ANTP_2.1.b Veículos'!D20+'ANTP_1.3 Frota Total'!C116*'ANTP_2.1.b Veículos'!D21+'ANTP_1.3 Frota Total'!C117*'ANTP_2.1.b Veículos'!D22+'ANTP_1.3 Frota Total'!C118*'ANTP_2.1.b Veículos'!D23)/('ANTP_2.1.b Veículos'!D60*SUM('ANTP_1.3 Frota Total'!C21:F27))</f>
        <v>0</v>
      </c>
      <c r="E9" s="413"/>
    </row>
  </sheetData>
  <sheetProtection algorithmName="SHA-512" hashValue="ctQK4wU0SarThsrILtkp4ZocF7hcD5ARZxJh8JXJqk6lPgM+SnAjkuXI1ua/R0ZRANktmQBmkViuoNjGqjUfGg==" saltValue="wXDOV+n2nWwp1FCLJgY8WQ==" spinCount="100000" sheet="1" objects="1" scenarios="1"/>
  <pageMargins left="0.78740157499999996" right="0.78740157499999996" top="0.984251969" bottom="0.984251969" header="0.49212598499999999" footer="0.49212598499999999"/>
  <pageSetup paperSize="9" orientation="portrait"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39997558519241921"/>
  </sheetPr>
  <dimension ref="A1:E26"/>
  <sheetViews>
    <sheetView workbookViewId="0">
      <selection activeCell="B1" sqref="B1"/>
    </sheetView>
  </sheetViews>
  <sheetFormatPr defaultColWidth="11.42578125" defaultRowHeight="15" x14ac:dyDescent="0.25"/>
  <cols>
    <col min="1" max="1" width="7" style="60" customWidth="1"/>
    <col min="2" max="2" width="2.7109375" style="60" customWidth="1"/>
    <col min="3" max="3" width="5.5703125" style="60" bestFit="1" customWidth="1"/>
    <col min="4" max="4" width="22.140625" style="60" customWidth="1"/>
    <col min="5" max="5" width="24.5703125" style="60" customWidth="1"/>
    <col min="6" max="6" width="8.28515625" style="60" customWidth="1"/>
    <col min="7" max="7" width="1.42578125" style="60" customWidth="1"/>
    <col min="8" max="8" width="15.7109375" style="60" bestFit="1" customWidth="1"/>
    <col min="9" max="9" width="38.7109375" style="60" bestFit="1" customWidth="1"/>
    <col min="10" max="10" width="1.140625" style="60" customWidth="1"/>
    <col min="11" max="16384" width="11.42578125" style="60"/>
  </cols>
  <sheetData>
    <row r="1" spans="1:5" x14ac:dyDescent="0.25">
      <c r="B1" s="560" t="s">
        <v>1182</v>
      </c>
    </row>
    <row r="3" spans="1:5" x14ac:dyDescent="0.25">
      <c r="A3" s="12" t="s">
        <v>689</v>
      </c>
    </row>
    <row r="4" spans="1:5" x14ac:dyDescent="0.25">
      <c r="A4" s="61" t="s">
        <v>230</v>
      </c>
      <c r="B4" s="60" t="s">
        <v>233</v>
      </c>
    </row>
    <row r="5" spans="1:5" ht="15.75" x14ac:dyDescent="0.25">
      <c r="A5" s="1337"/>
      <c r="B5" s="1338"/>
      <c r="C5" s="1338"/>
      <c r="D5" s="1339"/>
      <c r="E5" s="414"/>
    </row>
    <row r="6" spans="1:5" ht="15.75" x14ac:dyDescent="0.25">
      <c r="A6" s="1340" t="s">
        <v>237</v>
      </c>
      <c r="B6" s="1341"/>
      <c r="C6" s="1341"/>
      <c r="D6" s="1342"/>
      <c r="E6" s="415">
        <f>'ANTP_2.1.c Insumos'!F58</f>
        <v>15</v>
      </c>
    </row>
    <row r="7" spans="1:5" ht="15.75" x14ac:dyDescent="0.25">
      <c r="A7" s="1343" t="s">
        <v>238</v>
      </c>
      <c r="B7" s="1344"/>
      <c r="C7" s="1344"/>
      <c r="D7" s="1345"/>
      <c r="E7" s="416">
        <f>1/E6</f>
        <v>6.6666666666666666E-2</v>
      </c>
    </row>
    <row r="8" spans="1:5" ht="15.75" x14ac:dyDescent="0.25">
      <c r="A8" s="1346"/>
      <c r="B8" s="1347"/>
      <c r="C8" s="1347"/>
      <c r="D8" s="1348"/>
      <c r="E8" s="417"/>
    </row>
    <row r="9" spans="1:5" ht="15" customHeight="1" x14ac:dyDescent="0.25">
      <c r="A9" s="61"/>
      <c r="B9" s="61"/>
      <c r="C9" s="61"/>
      <c r="D9" s="61"/>
    </row>
    <row r="10" spans="1:5" x14ac:dyDescent="0.25">
      <c r="A10" s="61" t="s">
        <v>234</v>
      </c>
      <c r="B10" s="61" t="s">
        <v>231</v>
      </c>
    </row>
    <row r="12" spans="1:5" x14ac:dyDescent="0.25">
      <c r="C12" s="418" t="s">
        <v>236</v>
      </c>
      <c r="D12" s="419">
        <f>(1/12)*(1-(E7*(E6/2)))</f>
        <v>4.1666666666666664E-2</v>
      </c>
      <c r="E12" s="413"/>
    </row>
    <row r="26" spans="5:5" x14ac:dyDescent="0.25">
      <c r="E26" s="12"/>
    </row>
  </sheetData>
  <mergeCells count="4">
    <mergeCell ref="A5:D5"/>
    <mergeCell ref="A6:D6"/>
    <mergeCell ref="A7:D7"/>
    <mergeCell ref="A8:D8"/>
  </mergeCells>
  <pageMargins left="0.78740157499999996" right="0.78740157499999996" top="0.984251969" bottom="0.984251969" header="0.49212598499999999" footer="0.49212598499999999"/>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S99"/>
  <sheetViews>
    <sheetView view="pageBreakPreview" zoomScale="85" zoomScaleNormal="70" zoomScaleSheetLayoutView="85" zoomScalePageLayoutView="70" workbookViewId="0">
      <selection activeCell="A2" sqref="A2:F2"/>
    </sheetView>
  </sheetViews>
  <sheetFormatPr defaultRowHeight="12.75" x14ac:dyDescent="0.2"/>
  <cols>
    <col min="1" max="1" width="4" customWidth="1"/>
    <col min="2" max="2" width="52.85546875" customWidth="1"/>
    <col min="3" max="5" width="15.42578125" customWidth="1"/>
    <col min="6" max="6" width="21" bestFit="1" customWidth="1"/>
    <col min="7" max="7" width="9.140625" style="123" customWidth="1"/>
    <col min="8" max="8" width="7.7109375" customWidth="1"/>
    <col min="9" max="9" width="48.85546875" bestFit="1" customWidth="1"/>
    <col min="10" max="11" width="19.140625" bestFit="1" customWidth="1"/>
    <col min="12" max="12" width="22.28515625" customWidth="1"/>
    <col min="13" max="13" width="20.42578125" customWidth="1"/>
    <col min="14" max="14" width="14" bestFit="1" customWidth="1"/>
    <col min="15" max="16" width="14.42578125" bestFit="1" customWidth="1"/>
  </cols>
  <sheetData>
    <row r="1" spans="1:19" ht="15" x14ac:dyDescent="0.25">
      <c r="B1" s="560" t="s">
        <v>1182</v>
      </c>
    </row>
    <row r="2" spans="1:19" ht="36.75" customHeight="1" x14ac:dyDescent="0.3">
      <c r="A2" s="1024" t="s">
        <v>1419</v>
      </c>
      <c r="B2" s="1025"/>
      <c r="C2" s="1025"/>
      <c r="D2" s="1025"/>
      <c r="E2" s="1025"/>
      <c r="F2" s="1025"/>
    </row>
    <row r="3" spans="1:19" ht="18.75" x14ac:dyDescent="0.3">
      <c r="B3" s="580"/>
      <c r="C3" s="579"/>
      <c r="D3" s="579"/>
      <c r="E3" s="579"/>
      <c r="F3" s="579"/>
      <c r="G3" s="579"/>
    </row>
    <row r="4" spans="1:19" x14ac:dyDescent="0.2">
      <c r="A4" s="77"/>
      <c r="B4" s="77"/>
      <c r="C4" s="77"/>
      <c r="D4" s="77"/>
      <c r="E4" s="77"/>
      <c r="F4" s="77"/>
      <c r="G4" s="171"/>
      <c r="H4" s="77"/>
      <c r="I4" s="77"/>
      <c r="J4" s="77"/>
      <c r="K4" s="77"/>
      <c r="L4" s="77"/>
      <c r="M4" s="77"/>
      <c r="N4" s="77"/>
      <c r="O4" s="77"/>
      <c r="P4" s="77"/>
      <c r="Q4" s="77"/>
      <c r="R4" s="77"/>
      <c r="S4" s="77"/>
    </row>
    <row r="5" spans="1:19" x14ac:dyDescent="0.2">
      <c r="A5" s="77"/>
      <c r="B5" s="1026" t="s">
        <v>826</v>
      </c>
      <c r="C5" s="1027"/>
      <c r="D5" s="1027"/>
      <c r="E5" s="1027"/>
      <c r="F5" s="1028"/>
      <c r="G5" s="172"/>
      <c r="H5" s="77"/>
      <c r="I5" s="77"/>
      <c r="J5" s="77"/>
      <c r="K5" s="77"/>
      <c r="L5" s="77"/>
      <c r="M5" s="77"/>
      <c r="N5" s="77"/>
      <c r="O5" s="77"/>
      <c r="P5" s="77"/>
      <c r="Q5" s="77"/>
      <c r="R5" s="77"/>
      <c r="S5" s="77"/>
    </row>
    <row r="6" spans="1:19" x14ac:dyDescent="0.2">
      <c r="A6" s="77"/>
      <c r="B6" s="131"/>
      <c r="C6" s="131"/>
      <c r="D6" s="131"/>
      <c r="E6" s="131"/>
      <c r="F6" s="131"/>
      <c r="G6" s="172"/>
      <c r="H6" s="77"/>
      <c r="I6" s="77"/>
      <c r="J6" s="77"/>
      <c r="K6" s="77"/>
      <c r="L6" s="77"/>
      <c r="M6" s="77"/>
      <c r="N6" s="77"/>
      <c r="O6" s="77"/>
      <c r="P6" s="77"/>
      <c r="Q6" s="77"/>
      <c r="R6" s="77"/>
      <c r="S6" s="77"/>
    </row>
    <row r="7" spans="1:19" x14ac:dyDescent="0.2">
      <c r="A7" s="77"/>
      <c r="B7" s="232" t="s">
        <v>360</v>
      </c>
      <c r="C7" s="132" t="s">
        <v>361</v>
      </c>
      <c r="D7" s="132" t="s">
        <v>362</v>
      </c>
      <c r="E7" s="132" t="s">
        <v>363</v>
      </c>
      <c r="F7" s="132" t="s">
        <v>68</v>
      </c>
      <c r="G7" s="172"/>
      <c r="H7" s="77"/>
      <c r="I7" s="77"/>
      <c r="J7" s="77"/>
      <c r="K7" s="77"/>
      <c r="L7" s="77"/>
      <c r="M7" s="77"/>
      <c r="N7" s="77"/>
      <c r="O7" s="77"/>
      <c r="P7" s="77"/>
      <c r="Q7" s="77"/>
      <c r="R7" s="77"/>
      <c r="S7" s="77"/>
    </row>
    <row r="8" spans="1:19" x14ac:dyDescent="0.2">
      <c r="A8" s="77"/>
      <c r="B8" s="133" t="s">
        <v>827</v>
      </c>
      <c r="C8" s="134"/>
      <c r="D8" s="134"/>
      <c r="E8" s="134"/>
      <c r="F8" s="135"/>
      <c r="G8" s="172"/>
      <c r="H8" s="77"/>
      <c r="I8" s="77"/>
      <c r="J8" s="77"/>
      <c r="K8" s="77"/>
      <c r="L8" s="77"/>
      <c r="M8" s="77"/>
      <c r="N8" s="77"/>
      <c r="O8" s="77"/>
      <c r="P8" s="77"/>
      <c r="Q8" s="77"/>
      <c r="R8" s="77"/>
      <c r="S8" s="77"/>
    </row>
    <row r="9" spans="1:19" x14ac:dyDescent="0.2">
      <c r="A9" s="77"/>
      <c r="B9" s="174" t="s">
        <v>883</v>
      </c>
      <c r="C9" s="136">
        <f>'ANTP_2.1. Custo Variável'!E5</f>
        <v>112684.79664</v>
      </c>
      <c r="D9" s="136">
        <f>C9/(IF('ANTP_1.2. KM programada'!$D$9="x",SUM('ANTP_1.2. KM programada'!$Q$18:$S$117),IF('ANTP_1.2. KM programada'!$D$9="X",SUM('ANTP_1.2. KM programada'!$Q$18:$S$117),'ANTP_1.2. KM programada'!$D$12)))</f>
        <v>2.1871200000000002</v>
      </c>
      <c r="E9" s="136">
        <f>C9/SUM('ANTP_1.3 Frota Total'!$C$21:$F$27)</f>
        <v>10244.072421818182</v>
      </c>
      <c r="F9" s="137">
        <f t="shared" ref="F9:F14" si="0">C9/$C$15</f>
        <v>0.55234370434245594</v>
      </c>
      <c r="G9" s="172"/>
      <c r="H9" s="77"/>
      <c r="I9" s="184"/>
      <c r="J9" s="77"/>
      <c r="K9" s="77"/>
      <c r="L9" s="77"/>
      <c r="M9" s="77"/>
      <c r="N9" s="77"/>
      <c r="O9" s="77"/>
      <c r="P9" s="77"/>
      <c r="Q9" s="77"/>
      <c r="R9" s="77"/>
      <c r="S9" s="77"/>
    </row>
    <row r="10" spans="1:19" x14ac:dyDescent="0.2">
      <c r="A10" s="77"/>
      <c r="B10" s="174" t="s">
        <v>853</v>
      </c>
      <c r="C10" s="136">
        <f>'ANTP_2.1. Custo Variável'!E6</f>
        <v>7656.787464</v>
      </c>
      <c r="D10" s="136">
        <f>C10/(IF('ANTP_1.2. KM programada'!$D$9="x",SUM('ANTP_1.2. KM programada'!$Q$18:$S$117),IF('ANTP_1.2. KM programada'!$D$9="X",SUM('ANTP_1.2. KM programada'!$Q$18:$S$117),'ANTP_1.2. KM programada'!$D$12)))</f>
        <v>0.14861199999999999</v>
      </c>
      <c r="E10" s="136">
        <f>C10/SUM('ANTP_1.3 Frota Total'!$C$21:$F$27)</f>
        <v>696.07158763636369</v>
      </c>
      <c r="F10" s="137">
        <f t="shared" si="0"/>
        <v>3.7531046577115597E-2</v>
      </c>
      <c r="G10" s="172"/>
      <c r="H10" s="77"/>
      <c r="I10" s="184"/>
      <c r="J10" s="77"/>
      <c r="K10" s="77"/>
      <c r="L10" s="77"/>
      <c r="M10" s="77"/>
      <c r="N10" s="77"/>
      <c r="O10" s="77"/>
      <c r="P10" s="77"/>
      <c r="Q10" s="77"/>
      <c r="R10" s="77"/>
      <c r="S10" s="77"/>
    </row>
    <row r="11" spans="1:19" x14ac:dyDescent="0.2">
      <c r="A11" s="77"/>
      <c r="B11" s="174" t="s">
        <v>882</v>
      </c>
      <c r="C11" s="136">
        <f>'ANTP_2.1. Custo Variável'!E7</f>
        <v>2813.1012000000005</v>
      </c>
      <c r="D11" s="136">
        <f>C11/(IF('ANTP_1.2. KM programada'!$D$9="x",SUM('ANTP_1.2. KM programada'!$Q$18:$S$117),IF('ANTP_1.2. KM programada'!$D$9="X",SUM('ANTP_1.2. KM programada'!$Q$18:$S$117),'ANTP_1.2. KM programada'!$D$12)))</f>
        <v>5.460000000000001E-2</v>
      </c>
      <c r="E11" s="136">
        <f>C11/SUM('ANTP_1.3 Frota Total'!$C$21:$F$27)</f>
        <v>255.73647272727277</v>
      </c>
      <c r="F11" s="137">
        <f t="shared" si="0"/>
        <v>1.3788894188292411E-2</v>
      </c>
      <c r="G11" s="172"/>
      <c r="H11" s="77"/>
      <c r="I11" s="184"/>
      <c r="J11" s="77"/>
      <c r="K11" s="77"/>
      <c r="L11" s="1011"/>
      <c r="M11" s="1011"/>
      <c r="N11" s="77"/>
      <c r="O11" s="77"/>
      <c r="P11" s="77"/>
      <c r="Q11" s="77"/>
      <c r="R11" s="77"/>
      <c r="S11" s="77"/>
    </row>
    <row r="12" spans="1:19" x14ac:dyDescent="0.2">
      <c r="A12" s="77"/>
      <c r="B12" s="174" t="s">
        <v>854</v>
      </c>
      <c r="C12" s="136">
        <f>'ANTP_2.1. Custo Variável'!E8</f>
        <v>9324.4103424000004</v>
      </c>
      <c r="D12" s="136">
        <f>C12/(IF('ANTP_1.2. KM programada'!$D$9="x",SUM('ANTP_1.2. KM programada'!$Q$18:$S$117),IF('ANTP_1.2. KM programada'!$D$9="X",SUM('ANTP_1.2. KM programada'!$Q$18:$S$117),'ANTP_1.2. KM programada'!$D$12)))</f>
        <v>0.18097920000000001</v>
      </c>
      <c r="E12" s="136">
        <f>C12/SUM('ANTP_1.3 Frota Total'!$C$21:$F$27)</f>
        <v>847.67366749090911</v>
      </c>
      <c r="F12" s="137">
        <f t="shared" si="0"/>
        <v>4.5705183865967211E-2</v>
      </c>
      <c r="G12" s="172"/>
      <c r="H12" s="77"/>
      <c r="I12" s="184"/>
      <c r="J12" s="77"/>
      <c r="K12" s="77"/>
      <c r="L12" s="77"/>
      <c r="M12" s="77"/>
      <c r="N12" s="77"/>
      <c r="O12" s="77"/>
      <c r="P12" s="77"/>
      <c r="Q12" s="77"/>
      <c r="R12" s="77"/>
      <c r="S12" s="77"/>
    </row>
    <row r="13" spans="1:19" x14ac:dyDescent="0.2">
      <c r="A13" s="77"/>
      <c r="B13" s="174" t="s">
        <v>855</v>
      </c>
      <c r="C13" s="136">
        <f>'ANTP_2.1. Custo Variável'!E9</f>
        <v>61314.000000000007</v>
      </c>
      <c r="D13" s="136">
        <f>C13/(IF('ANTP_1.2. KM programada'!$D$9="x",SUM('ANTP_1.2. KM programada'!$Q$18:$S$117),IF('ANTP_1.2. KM programada'!$D$9="X",SUM('ANTP_1.2. KM programada'!$Q$18:$S$117),'ANTP_1.2. KM programada'!$D$12)))</f>
        <v>1.1900547339000818</v>
      </c>
      <c r="E13" s="136">
        <f>C13/SUM('ANTP_1.3 Frota Total'!$C$21:$F$27)</f>
        <v>5574.0000000000009</v>
      </c>
      <c r="F13" s="137">
        <f t="shared" si="0"/>
        <v>0.30054100373671622</v>
      </c>
      <c r="G13" s="172"/>
      <c r="H13" s="77"/>
      <c r="I13" s="184"/>
      <c r="J13" s="77"/>
      <c r="K13" s="77"/>
      <c r="L13" s="77"/>
      <c r="M13" s="77"/>
      <c r="N13" s="77"/>
      <c r="O13" s="77"/>
      <c r="P13" s="77"/>
      <c r="Q13" s="77"/>
      <c r="R13" s="77"/>
      <c r="S13" s="77"/>
    </row>
    <row r="14" spans="1:19" x14ac:dyDescent="0.2">
      <c r="A14" s="77"/>
      <c r="B14" s="175" t="s">
        <v>856</v>
      </c>
      <c r="C14" s="138">
        <f>'ANTP_2.1. Custo Variável'!E10</f>
        <v>10219</v>
      </c>
      <c r="D14" s="138">
        <f>C14/(IF('ANTP_1.2. KM programada'!$D$9="x",SUM('ANTP_1.2. KM programada'!$Q$18:$S$117),IF('ANTP_1.2. KM programada'!$D$9="X",SUM('ANTP_1.2. KM programada'!$Q$18:$S$117),'ANTP_1.2. KM programada'!$D$12)))</f>
        <v>0.1983424556500136</v>
      </c>
      <c r="E14" s="138">
        <f>C14/SUM('ANTP_1.3 Frota Total'!$C$21:$F$27)</f>
        <v>929</v>
      </c>
      <c r="F14" s="139">
        <f t="shared" si="0"/>
        <v>5.0090167289452696E-2</v>
      </c>
      <c r="G14" s="172"/>
      <c r="H14" s="77"/>
      <c r="I14" s="184"/>
      <c r="J14" s="77"/>
      <c r="K14" s="77"/>
      <c r="L14" s="77"/>
      <c r="M14" s="77"/>
      <c r="N14" s="77"/>
      <c r="O14" s="77"/>
      <c r="P14" s="77"/>
      <c r="Q14" s="77"/>
      <c r="R14" s="77"/>
      <c r="S14" s="77"/>
    </row>
    <row r="15" spans="1:19" x14ac:dyDescent="0.2">
      <c r="A15" s="77"/>
      <c r="B15" s="177" t="s">
        <v>828</v>
      </c>
      <c r="C15" s="140">
        <f>SUM(C9:C14)</f>
        <v>204012.0956464</v>
      </c>
      <c r="D15" s="140">
        <f>SUM(D9:D14)</f>
        <v>3.9597083895500957</v>
      </c>
      <c r="E15" s="140">
        <f>SUM(E9:E14)</f>
        <v>18546.554149672727</v>
      </c>
      <c r="F15" s="141">
        <f>SUM(F9:F14)</f>
        <v>1</v>
      </c>
      <c r="G15" s="172"/>
      <c r="H15" s="77"/>
      <c r="I15" s="184"/>
      <c r="J15" s="217"/>
      <c r="K15" s="77"/>
      <c r="L15" s="77"/>
      <c r="M15" s="77"/>
      <c r="N15" s="77"/>
      <c r="O15" s="77"/>
      <c r="P15" s="77"/>
      <c r="Q15" s="77"/>
      <c r="R15" s="77"/>
      <c r="S15" s="77"/>
    </row>
    <row r="16" spans="1:19" x14ac:dyDescent="0.2">
      <c r="A16" s="77"/>
      <c r="B16" s="142" t="s">
        <v>829</v>
      </c>
      <c r="C16" s="143"/>
      <c r="D16" s="143"/>
      <c r="E16" s="143"/>
      <c r="F16" s="144"/>
      <c r="G16" s="172"/>
      <c r="H16" s="77"/>
      <c r="I16" s="184"/>
      <c r="J16" s="217"/>
      <c r="K16" s="77"/>
      <c r="L16" s="77"/>
      <c r="M16" s="77"/>
      <c r="N16" s="77"/>
      <c r="O16" s="77"/>
      <c r="P16" s="77"/>
      <c r="Q16" s="77"/>
      <c r="R16" s="77"/>
      <c r="S16" s="77"/>
    </row>
    <row r="17" spans="1:19" x14ac:dyDescent="0.2">
      <c r="A17" s="77"/>
      <c r="B17" s="145" t="s">
        <v>830</v>
      </c>
      <c r="C17" s="146"/>
      <c r="D17" s="146"/>
      <c r="E17" s="146"/>
      <c r="F17" s="147"/>
      <c r="G17" s="172"/>
      <c r="H17" s="77"/>
      <c r="I17" s="184"/>
      <c r="J17" s="184"/>
      <c r="K17" s="77"/>
      <c r="L17" s="77"/>
      <c r="M17" s="77"/>
      <c r="N17" s="77"/>
      <c r="O17" s="77"/>
      <c r="P17" s="77"/>
      <c r="Q17" s="77"/>
      <c r="R17" s="77"/>
      <c r="S17" s="77"/>
    </row>
    <row r="18" spans="1:19" x14ac:dyDescent="0.2">
      <c r="A18" s="77"/>
      <c r="B18" s="231" t="s">
        <v>881</v>
      </c>
      <c r="C18" s="148">
        <f>'ANTP_2.2 Custo Fixo'!H21</f>
        <v>74533.255768422008</v>
      </c>
      <c r="D18" s="148">
        <f>C18/(IF('ANTP_1.2. KM programada'!$D$9="x",SUM('ANTP_1.2. KM programada'!$Q$18:$S$117),IF('ANTP_1.2. KM programada'!$D$9="X",SUM('ANTP_1.2. KM programada'!$Q$18:$S$117),'ANTP_1.2. KM programada'!$D$12)))</f>
        <v>1.4466297070847796</v>
      </c>
      <c r="E18" s="148">
        <f>C18/SUM('ANTP_1.3 Frota Total'!$C$21:$F$27)</f>
        <v>6775.7505244020003</v>
      </c>
      <c r="F18" s="149">
        <f>C18/$C$49</f>
        <v>0.3906457230170326</v>
      </c>
      <c r="G18" s="172"/>
      <c r="H18" s="77"/>
      <c r="J18" s="78"/>
      <c r="M18" s="77"/>
      <c r="N18" s="77"/>
      <c r="O18" s="77"/>
      <c r="P18" s="77"/>
      <c r="Q18" s="77"/>
      <c r="R18" s="77"/>
      <c r="S18" s="77"/>
    </row>
    <row r="19" spans="1:19" x14ac:dyDescent="0.2">
      <c r="A19" s="77"/>
      <c r="B19" s="231" t="s">
        <v>857</v>
      </c>
      <c r="C19" s="148">
        <f>'ANTP_2.2 Custo Fixo'!H22</f>
        <v>40247.958114947884</v>
      </c>
      <c r="D19" s="148">
        <f>C19/(IF('ANTP_1.2. KM programada'!$D$9="x",SUM('ANTP_1.2. KM programada'!$Q$18:$S$117),IF('ANTP_1.2. KM programada'!$D$9="X",SUM('ANTP_1.2. KM programada'!$Q$18:$S$117),'ANTP_1.2. KM programada'!$D$12)))</f>
        <v>0.78118004182578094</v>
      </c>
      <c r="E19" s="148">
        <f>C19/SUM('ANTP_1.3 Frota Total'!$C$21:$F$27)</f>
        <v>3658.9052831770805</v>
      </c>
      <c r="F19" s="149">
        <f>C19/$C$49</f>
        <v>0.21094869042919762</v>
      </c>
      <c r="G19" s="172"/>
      <c r="H19" s="77"/>
      <c r="I19" s="953"/>
      <c r="J19" s="78"/>
      <c r="M19" s="77"/>
      <c r="N19" s="77"/>
      <c r="O19" s="77"/>
      <c r="P19" s="77"/>
      <c r="Q19" s="77"/>
      <c r="R19" s="77"/>
      <c r="S19" s="77"/>
    </row>
    <row r="20" spans="1:19" ht="23.25" customHeight="1" x14ac:dyDescent="0.2">
      <c r="A20" s="77"/>
      <c r="B20" s="173" t="s">
        <v>367</v>
      </c>
      <c r="C20" s="150">
        <f>SUM(C18:C19)</f>
        <v>114781.2138833699</v>
      </c>
      <c r="D20" s="150">
        <f>SUM(D18:D19)</f>
        <v>2.2278097489105604</v>
      </c>
      <c r="E20" s="150">
        <f>SUM(E18:E19)</f>
        <v>10434.655807579082</v>
      </c>
      <c r="F20" s="151">
        <f>SUM(F18:F19)</f>
        <v>0.60159441344623021</v>
      </c>
      <c r="G20" s="172"/>
      <c r="H20" s="77"/>
      <c r="J20" s="65"/>
      <c r="M20" s="77"/>
      <c r="N20" s="77"/>
      <c r="O20" s="77"/>
      <c r="P20" s="77"/>
      <c r="Q20" s="77"/>
      <c r="R20" s="77"/>
      <c r="S20" s="77"/>
    </row>
    <row r="21" spans="1:19" x14ac:dyDescent="0.2">
      <c r="A21" s="77"/>
      <c r="B21" s="145" t="s">
        <v>831</v>
      </c>
      <c r="C21" s="148"/>
      <c r="D21" s="148"/>
      <c r="E21" s="148"/>
      <c r="F21" s="149"/>
      <c r="G21" s="172"/>
      <c r="H21" s="77"/>
      <c r="I21" s="572"/>
      <c r="J21" s="220"/>
      <c r="M21" s="77"/>
      <c r="N21" s="77"/>
      <c r="O21" s="77"/>
      <c r="P21" s="77"/>
      <c r="Q21" s="77"/>
      <c r="R21" s="77"/>
      <c r="S21" s="77"/>
    </row>
    <row r="22" spans="1:19" x14ac:dyDescent="0.2">
      <c r="A22" s="77"/>
      <c r="B22" s="231" t="s">
        <v>858</v>
      </c>
      <c r="C22" s="148">
        <f>'ANTP_2.2 Custo Fixo'!H25</f>
        <v>8266.6666666666661</v>
      </c>
      <c r="D22" s="148">
        <f>C22/(IF('ANTP_1.2. KM programada'!$D$9="x",SUM('ANTP_1.2. KM programada'!$Q$18:$S$117),IF('ANTP_1.2. KM programada'!$D$9="X",SUM('ANTP_1.2. KM programada'!$Q$18:$S$117),'ANTP_1.2. KM programada'!$D$12)))</f>
        <v>0.16044925792218209</v>
      </c>
      <c r="E22" s="148">
        <f>C22/SUM('ANTP_1.3 Frota Total'!$C$21:$F$27)</f>
        <v>751.5151515151515</v>
      </c>
      <c r="F22" s="149">
        <f>C22/$C$49</f>
        <v>4.3327477696325153E-2</v>
      </c>
      <c r="G22" s="172"/>
      <c r="H22" s="77"/>
      <c r="I22" s="572"/>
      <c r="J22" s="220"/>
      <c r="M22" s="77"/>
      <c r="N22" s="77"/>
      <c r="O22" s="77"/>
      <c r="P22" s="77"/>
      <c r="Q22" s="77"/>
      <c r="R22" s="77"/>
      <c r="S22" s="77"/>
    </row>
    <row r="23" spans="1:19" x14ac:dyDescent="0.2">
      <c r="A23" s="77"/>
      <c r="B23" s="231" t="s">
        <v>859</v>
      </c>
      <c r="C23" s="148">
        <f>'ANTP_2.2 Custo Fixo'!H26</f>
        <v>195.99249999999998</v>
      </c>
      <c r="D23" s="148">
        <f>C23/(IF('ANTP_1.2. KM programada'!$D$9="x",SUM('ANTP_1.2. KM programada'!$Q$18:$S$117),IF('ANTP_1.2. KM programada'!$D$9="X",SUM('ANTP_1.2. KM programada'!$Q$18:$S$117),'ANTP_1.2. KM programada'!$D$12)))</f>
        <v>3.8040545786266057E-3</v>
      </c>
      <c r="E23" s="148">
        <f>C23/SUM('ANTP_1.3 Frota Total'!$C$21:$F$27)</f>
        <v>17.817499999999999</v>
      </c>
      <c r="F23" s="149">
        <f>C23/$C$49</f>
        <v>1.0272412103706058E-3</v>
      </c>
      <c r="G23" s="172"/>
      <c r="H23" s="77"/>
      <c r="J23" s="210"/>
      <c r="M23" s="77"/>
      <c r="N23" s="213"/>
      <c r="O23" s="77"/>
      <c r="P23" s="77"/>
      <c r="Q23" s="77"/>
      <c r="R23" s="77"/>
      <c r="S23" s="77"/>
    </row>
    <row r="24" spans="1:19" x14ac:dyDescent="0.2">
      <c r="A24" s="77"/>
      <c r="B24" s="231" t="s">
        <v>880</v>
      </c>
      <c r="C24" s="148">
        <f>'ANTP_2.2 Custo Fixo'!H28</f>
        <v>1021.9000000000009</v>
      </c>
      <c r="D24" s="148">
        <f>C24/(IF('ANTP_1.2. KM programada'!$D$9="x",SUM('ANTP_1.2. KM programada'!$Q$18:$S$117),IF('ANTP_1.2. KM programada'!$D$9="X",SUM('ANTP_1.2. KM programada'!$Q$18:$S$117),'ANTP_1.2. KM programada'!$D$12)))</f>
        <v>1.9834245565001376E-2</v>
      </c>
      <c r="E24" s="148">
        <f>C24/SUM('ANTP_1.3 Frota Total'!$C$21:$F$27)</f>
        <v>92.900000000000077</v>
      </c>
      <c r="F24" s="149">
        <f>C24/$C$49</f>
        <v>5.3560100150654901E-3</v>
      </c>
      <c r="G24" s="172"/>
      <c r="H24" s="77"/>
      <c r="J24" s="210"/>
      <c r="K24" s="184"/>
      <c r="L24" s="184"/>
      <c r="M24" s="77"/>
      <c r="N24" s="213"/>
      <c r="O24" s="77"/>
      <c r="P24" s="77"/>
      <c r="Q24" s="77"/>
      <c r="R24" s="77"/>
      <c r="S24" s="77"/>
    </row>
    <row r="25" spans="1:19" x14ac:dyDescent="0.2">
      <c r="A25" s="77"/>
      <c r="B25" s="231" t="s">
        <v>860</v>
      </c>
      <c r="C25" s="148">
        <f>'ANTP_2.2 Custo Fixo'!H27</f>
        <v>2200</v>
      </c>
      <c r="D25" s="148">
        <f>C25/(IF('ANTP_1.2. KM programada'!$D$9="x",SUM('ANTP_1.2. KM programada'!$Q$18:$S$117),IF('ANTP_1.2. KM programada'!$D$9="X",SUM('ANTP_1.2. KM programada'!$Q$18:$S$117),'ANTP_1.2. KM programada'!$D$12)))</f>
        <v>4.2700205737354918E-2</v>
      </c>
      <c r="E25" s="148">
        <f>C25/SUM('ANTP_1.3 Frota Total'!$C$21:$F$27)</f>
        <v>200</v>
      </c>
      <c r="F25" s="149">
        <f>C25/$C$49</f>
        <v>1.1530699709505888E-2</v>
      </c>
      <c r="G25" s="172"/>
      <c r="H25" s="77"/>
      <c r="I25" s="209"/>
      <c r="J25" s="184"/>
      <c r="K25" s="184"/>
      <c r="L25" s="184"/>
      <c r="M25" s="77"/>
      <c r="N25" s="77"/>
      <c r="O25" s="77"/>
      <c r="P25" s="77"/>
      <c r="Q25" s="77"/>
      <c r="R25" s="77"/>
      <c r="S25" s="77"/>
    </row>
    <row r="26" spans="1:19" x14ac:dyDescent="0.2">
      <c r="A26" s="77"/>
      <c r="B26" s="231" t="s">
        <v>861</v>
      </c>
      <c r="C26" s="148">
        <f>'ANTP_2.2 Custo Fixo'!H29</f>
        <v>3800</v>
      </c>
      <c r="D26" s="148">
        <f>C26/(IF('ANTP_1.2. KM programada'!$D$9="x",SUM('ANTP_1.2. KM programada'!$Q$18:$S$117),IF('ANTP_1.2. KM programada'!$D$9="X",SUM('ANTP_1.2. KM programada'!$Q$18:$S$117),'ANTP_1.2. KM programada'!$D$12)))</f>
        <v>7.3754900819067576E-2</v>
      </c>
      <c r="E26" s="185">
        <f>C26/SUM('ANTP_1.3 Frota Total'!$C$21:$F$27)</f>
        <v>345.45454545454544</v>
      </c>
      <c r="F26" s="149">
        <f>C26/$C$49</f>
        <v>1.9916663134601081E-2</v>
      </c>
      <c r="G26" s="172"/>
      <c r="H26" s="77"/>
      <c r="I26" s="209"/>
      <c r="J26" s="184"/>
      <c r="K26" s="77"/>
      <c r="L26" s="184"/>
      <c r="M26" s="77"/>
      <c r="N26" s="213"/>
      <c r="O26" s="214"/>
      <c r="P26" s="77"/>
      <c r="Q26" s="77"/>
      <c r="R26" s="77"/>
      <c r="S26" s="77"/>
    </row>
    <row r="27" spans="1:19" ht="24" customHeight="1" x14ac:dyDescent="0.2">
      <c r="A27" s="77"/>
      <c r="B27" s="173" t="s">
        <v>367</v>
      </c>
      <c r="C27" s="152">
        <f>SUM(C22:C26)</f>
        <v>15484.559166666668</v>
      </c>
      <c r="D27" s="152">
        <f>SUM(D22:D26)</f>
        <v>0.30054266462223256</v>
      </c>
      <c r="E27" s="152">
        <f>SUM(E22:E26)</f>
        <v>1407.6871969696972</v>
      </c>
      <c r="F27" s="151">
        <f>SUM(F22:F26)</f>
        <v>8.1158091765868218E-2</v>
      </c>
      <c r="G27" s="172"/>
      <c r="H27" s="77"/>
      <c r="I27" s="184"/>
      <c r="J27" s="949"/>
      <c r="K27" s="77"/>
      <c r="L27" s="77"/>
      <c r="M27" s="77"/>
      <c r="N27" s="77"/>
      <c r="O27" s="77"/>
      <c r="P27" s="77"/>
      <c r="Q27" s="77"/>
      <c r="R27" s="77"/>
      <c r="S27" s="77"/>
    </row>
    <row r="28" spans="1:19" x14ac:dyDescent="0.2">
      <c r="A28" s="77"/>
      <c r="B28" s="145" t="s">
        <v>832</v>
      </c>
      <c r="C28" s="148"/>
      <c r="D28" s="148"/>
      <c r="E28" s="148"/>
      <c r="F28" s="149"/>
      <c r="G28" s="172"/>
      <c r="H28" s="77"/>
      <c r="K28" s="77"/>
      <c r="L28" s="77"/>
      <c r="M28" s="77"/>
      <c r="N28" s="77"/>
      <c r="O28" s="77"/>
      <c r="P28" s="77"/>
      <c r="Q28" s="77"/>
      <c r="R28" s="77"/>
      <c r="S28" s="77"/>
    </row>
    <row r="29" spans="1:19" x14ac:dyDescent="0.2">
      <c r="A29" s="77"/>
      <c r="B29" s="231" t="s">
        <v>862</v>
      </c>
      <c r="C29" s="148">
        <f>'ANTP_2.2 Custo Fixo'!H6</f>
        <v>32911.991999999998</v>
      </c>
      <c r="D29" s="148">
        <f>C29/(IF('ANTP_1.2. KM programada'!$D$9="x",SUM('ANTP_1.2. KM programada'!$Q$18:$S$117),IF('ANTP_1.2. KM programada'!$D$9="X",SUM('ANTP_1.2. KM programada'!$Q$18:$S$117),'ANTP_1.2. KM programada'!$D$12)))</f>
        <v>0.63879492255735415</v>
      </c>
      <c r="E29" s="148">
        <f>C29/SUM('ANTP_1.3 Frota Total'!$C$21:$F$27)</f>
        <v>2991.9992727272725</v>
      </c>
      <c r="F29" s="149">
        <f>C29/$C$49</f>
        <v>0.17249922572439097</v>
      </c>
      <c r="G29" s="172"/>
      <c r="H29" s="77"/>
      <c r="I29" s="77"/>
      <c r="J29" s="77"/>
      <c r="K29" s="77"/>
      <c r="L29" s="77"/>
      <c r="M29" s="77"/>
      <c r="N29" s="77"/>
      <c r="O29" s="77"/>
      <c r="P29" s="77"/>
      <c r="Q29" s="77"/>
      <c r="R29" s="77"/>
      <c r="S29" s="77"/>
    </row>
    <row r="30" spans="1:19" x14ac:dyDescent="0.2">
      <c r="A30" s="77"/>
      <c r="B30" s="231" t="s">
        <v>863</v>
      </c>
      <c r="C30" s="148">
        <f>'ANTP_2.2 Custo Fixo'!H7</f>
        <v>1532.4653600000001</v>
      </c>
      <c r="D30" s="148">
        <f>C30/(IF('ANTP_1.2. KM programada'!$D$9="x",SUM('ANTP_1.2. KM programada'!$Q$18:$S$117),IF('ANTP_1.2. KM programada'!$D$9="X",SUM('ANTP_1.2. KM programada'!$Q$18:$S$117),'ANTP_1.2. KM programada'!$D$12)))</f>
        <v>2.9743902798804397E-2</v>
      </c>
      <c r="E30" s="148">
        <f>C30/SUM('ANTP_1.3 Frota Total'!$C$21:$F$27)</f>
        <v>139.31503272727275</v>
      </c>
      <c r="F30" s="149">
        <f>C30/$C$49</f>
        <v>8.0319990369908355E-3</v>
      </c>
      <c r="G30" s="172"/>
      <c r="H30" s="77"/>
      <c r="I30" s="77"/>
      <c r="J30" s="77"/>
      <c r="K30" s="77"/>
      <c r="L30" s="77"/>
      <c r="M30" s="77"/>
      <c r="N30" s="77"/>
      <c r="O30" s="77"/>
      <c r="P30" s="77"/>
      <c r="Q30" s="77"/>
      <c r="R30" s="77"/>
      <c r="S30" s="77"/>
    </row>
    <row r="31" spans="1:19" x14ac:dyDescent="0.2">
      <c r="A31" s="77"/>
      <c r="B31" s="231" t="s">
        <v>864</v>
      </c>
      <c r="C31" s="148">
        <f>'ANTP_2.2 Custo Fixo'!H8</f>
        <v>5428.0599999999995</v>
      </c>
      <c r="D31" s="148">
        <f>C31/(IF('ANTP_1.2. KM programada'!$D$9="x",SUM('ANTP_1.2. KM programada'!$Q$18:$S$117),IF('ANTP_1.2. KM programada'!$D$9="X",SUM('ANTP_1.2. KM programada'!$Q$18:$S$117),'ANTP_1.2. KM programada'!$D$12)))</f>
        <v>0.10535421761577578</v>
      </c>
      <c r="E31" s="148">
        <f>C31/SUM('ANTP_1.3 Frota Total'!$C$21:$F$27)</f>
        <v>493.46</v>
      </c>
      <c r="F31" s="149">
        <f>C31/$C$49</f>
        <v>2.8449695393263877E-2</v>
      </c>
      <c r="G31" s="172"/>
      <c r="H31" s="77"/>
      <c r="I31" s="77"/>
      <c r="J31" s="77"/>
      <c r="K31" s="77"/>
      <c r="L31" s="77"/>
      <c r="M31" s="77"/>
      <c r="N31" s="77"/>
      <c r="O31" s="77"/>
      <c r="P31" s="77"/>
      <c r="Q31" s="77"/>
      <c r="R31" s="77"/>
      <c r="S31" s="77"/>
    </row>
    <row r="32" spans="1:19" x14ac:dyDescent="0.2">
      <c r="A32" s="77"/>
      <c r="B32" s="231" t="s">
        <v>865</v>
      </c>
      <c r="C32" s="148">
        <f>'ANTP_2.2 Custo Fixo'!H9</f>
        <v>0</v>
      </c>
      <c r="D32" s="148">
        <f>C32/(IF('ANTP_1.2. KM programada'!$D$9="x",SUM('ANTP_1.2. KM programada'!$Q$18:$S$117),IF('ANTP_1.2. KM programada'!$D$9="X",SUM('ANTP_1.2. KM programada'!$Q$18:$S$117),'ANTP_1.2. KM programada'!$D$12)))</f>
        <v>0</v>
      </c>
      <c r="E32" s="148">
        <f>C32/SUM('ANTP_1.3 Frota Total'!$C$21:$F$27)</f>
        <v>0</v>
      </c>
      <c r="F32" s="149">
        <f>C32/$C$49</f>
        <v>0</v>
      </c>
      <c r="G32" s="172"/>
      <c r="H32" s="77"/>
      <c r="I32" s="77"/>
      <c r="J32" s="77"/>
      <c r="K32" s="77"/>
      <c r="L32" s="77"/>
      <c r="M32" s="77"/>
      <c r="N32" s="77"/>
      <c r="O32" s="77"/>
      <c r="P32" s="77"/>
      <c r="Q32" s="77"/>
      <c r="R32" s="77"/>
      <c r="S32" s="77"/>
    </row>
    <row r="33" spans="1:19" x14ac:dyDescent="0.2">
      <c r="A33" s="77"/>
      <c r="B33" s="231" t="s">
        <v>866</v>
      </c>
      <c r="C33" s="148">
        <f>'ANTP_2.2 Custo Fixo'!H10</f>
        <v>291.66666666666669</v>
      </c>
      <c r="D33" s="148">
        <f>C33/(IF('ANTP_1.2. KM programada'!$D$9="x",SUM('ANTP_1.2. KM programada'!$Q$18:$S$117),IF('ANTP_1.2. KM programada'!$D$9="X",SUM('ANTP_1.2. KM programada'!$Q$18:$S$117),'ANTP_1.2. KM programada'!$D$12)))</f>
        <v>5.6610121242705383E-3</v>
      </c>
      <c r="E33" s="148">
        <f>C33/SUM('ANTP_1.3 Frota Total'!$C$21:$F$27)</f>
        <v>26.515151515151516</v>
      </c>
      <c r="F33" s="149">
        <f>C33/$C$49</f>
        <v>1.528691249366311E-3</v>
      </c>
      <c r="G33" s="172"/>
      <c r="H33" s="77"/>
      <c r="I33" s="77"/>
      <c r="J33" s="77"/>
      <c r="K33" s="212"/>
      <c r="L33" s="211"/>
      <c r="M33" s="211"/>
      <c r="N33" s="211"/>
      <c r="O33" s="77"/>
      <c r="P33" s="77"/>
      <c r="Q33" s="77"/>
      <c r="R33" s="77"/>
      <c r="S33" s="77"/>
    </row>
    <row r="34" spans="1:19" ht="12" customHeight="1" x14ac:dyDescent="0.2">
      <c r="A34" s="77"/>
      <c r="B34" s="231"/>
      <c r="C34" s="148"/>
      <c r="D34" s="148"/>
      <c r="E34" s="148"/>
      <c r="F34" s="149"/>
      <c r="G34" s="172"/>
      <c r="H34" s="77"/>
      <c r="I34" s="77"/>
      <c r="J34" s="77"/>
      <c r="K34" s="212"/>
      <c r="L34" s="211"/>
      <c r="M34" s="211"/>
      <c r="N34" s="211"/>
      <c r="O34" s="77"/>
      <c r="P34" s="77"/>
      <c r="Q34" s="77"/>
      <c r="R34" s="77"/>
      <c r="S34" s="77"/>
    </row>
    <row r="35" spans="1:19" x14ac:dyDescent="0.2">
      <c r="A35" s="77"/>
      <c r="B35" s="173" t="s">
        <v>367</v>
      </c>
      <c r="C35" s="153">
        <f>SUM(C29:C33)</f>
        <v>40164.184026666662</v>
      </c>
      <c r="D35" s="153">
        <f>SUM(D29:D33)</f>
        <v>0.77955405509620479</v>
      </c>
      <c r="E35" s="153">
        <f>SUM(E29:E33)</f>
        <v>3651.2894569696969</v>
      </c>
      <c r="F35" s="154">
        <f>SUM(F29:F33)</f>
        <v>0.210509611404012</v>
      </c>
      <c r="G35" s="172"/>
      <c r="H35" s="77"/>
      <c r="I35" s="77"/>
      <c r="J35" s="77"/>
      <c r="K35" s="77"/>
      <c r="L35" s="211"/>
      <c r="M35" s="211"/>
      <c r="N35" s="211"/>
      <c r="O35" s="77"/>
      <c r="P35" s="77"/>
      <c r="Q35" s="77"/>
      <c r="R35" s="77"/>
      <c r="S35" s="77"/>
    </row>
    <row r="36" spans="1:19" x14ac:dyDescent="0.2">
      <c r="A36" s="77"/>
      <c r="B36" s="145" t="s">
        <v>833</v>
      </c>
      <c r="C36" s="148"/>
      <c r="D36" s="148"/>
      <c r="E36" s="148"/>
      <c r="F36" s="149"/>
      <c r="G36" s="172"/>
      <c r="H36" s="77"/>
      <c r="I36" s="77"/>
      <c r="J36" s="968"/>
      <c r="K36" s="77"/>
      <c r="L36" s="211"/>
      <c r="M36" s="211"/>
      <c r="N36" s="211"/>
      <c r="O36" s="77"/>
      <c r="P36" s="77"/>
      <c r="Q36" s="77"/>
      <c r="R36" s="77"/>
      <c r="S36" s="77"/>
    </row>
    <row r="37" spans="1:19" x14ac:dyDescent="0.2">
      <c r="A37" s="77"/>
      <c r="B37" s="231" t="s">
        <v>867</v>
      </c>
      <c r="C37" s="148">
        <f>'ANTP_2.2 Custo Fixo'!H13</f>
        <v>10612.560996969691</v>
      </c>
      <c r="D37" s="148">
        <f>C37/(IF('ANTP_1.2. KM programada'!$D$9="x",SUM('ANTP_1.2. KM programada'!$Q$18:$S$117),IF('ANTP_1.2. KM programada'!$D$9="X",SUM('ANTP_1.2. KM programada'!$Q$18:$S$117),'ANTP_1.2. KM programada'!$D$12)))</f>
        <v>0.20598115362310646</v>
      </c>
      <c r="E37" s="148">
        <f>C37/SUM('ANTP_1.3 Frota Total'!$C$21:$F$27)</f>
        <v>964.77827245179003</v>
      </c>
      <c r="F37" s="149">
        <f t="shared" ref="F37:F42" si="1">C37/$C$49</f>
        <v>5.5622842729487247E-2</v>
      </c>
      <c r="G37" s="172"/>
      <c r="H37" s="77"/>
      <c r="I37" s="77"/>
      <c r="J37" s="571"/>
      <c r="K37" s="77"/>
      <c r="L37" s="211"/>
      <c r="M37" s="211"/>
      <c r="N37" s="211"/>
      <c r="O37" s="77"/>
      <c r="P37" s="77"/>
      <c r="Q37" s="77"/>
      <c r="R37" s="77"/>
      <c r="S37" s="77"/>
    </row>
    <row r="38" spans="1:19" x14ac:dyDescent="0.2">
      <c r="A38" s="77"/>
      <c r="B38" s="231" t="s">
        <v>868</v>
      </c>
      <c r="C38" s="148">
        <f>'ANTP_2.2 Custo Fixo'!H14</f>
        <v>2552.952698916667</v>
      </c>
      <c r="D38" s="148">
        <f>C38/(IF('ANTP_1.2. KM programada'!$D$9="x",SUM('ANTP_1.2. KM programada'!$Q$18:$S$117),IF('ANTP_1.2. KM programada'!$D$9="X",SUM('ANTP_1.2. KM programada'!$Q$18:$S$117),'ANTP_1.2. KM programada'!$D$12)))</f>
        <v>4.9550729764307813E-2</v>
      </c>
      <c r="E38" s="148">
        <f>C38/SUM('ANTP_1.3 Frota Total'!$C$21:$F$27)</f>
        <v>232.08660899242429</v>
      </c>
      <c r="F38" s="149">
        <f t="shared" si="1"/>
        <v>1.3380604974445766E-2</v>
      </c>
      <c r="G38" s="172"/>
      <c r="H38" s="77"/>
      <c r="I38" s="77"/>
      <c r="J38" s="968"/>
      <c r="K38" s="77"/>
      <c r="L38" s="77"/>
      <c r="M38" s="77"/>
      <c r="N38" s="77"/>
      <c r="O38" s="77"/>
      <c r="P38" s="77"/>
      <c r="Q38" s="77"/>
      <c r="R38" s="77"/>
      <c r="S38" s="77"/>
    </row>
    <row r="39" spans="1:19" x14ac:dyDescent="0.2">
      <c r="A39" s="77"/>
      <c r="B39" s="231" t="s">
        <v>869</v>
      </c>
      <c r="C39" s="148">
        <f>'ANTP_2.2 Custo Fixo'!H15</f>
        <v>717.11832500000003</v>
      </c>
      <c r="D39" s="148">
        <f>C39/(IF('ANTP_1.2. KM programada'!$D$9="x",SUM('ANTP_1.2. KM programada'!$Q$18:$S$117),IF('ANTP_1.2. KM programada'!$D$9="X",SUM('ANTP_1.2. KM programada'!$Q$18:$S$117),'ANTP_1.2. KM programada'!$D$12)))</f>
        <v>1.3918681825239703E-2</v>
      </c>
      <c r="E39" s="148">
        <f>C39/SUM('ANTP_1.3 Frota Total'!$C$21:$F$27)</f>
        <v>65.192575000000005</v>
      </c>
      <c r="F39" s="149">
        <f t="shared" si="1"/>
        <v>3.7585800280722044E-3</v>
      </c>
      <c r="G39" s="172"/>
      <c r="H39" s="77"/>
      <c r="I39" s="77"/>
      <c r="J39" s="968"/>
      <c r="K39" s="77"/>
      <c r="L39" s="77"/>
      <c r="M39" s="77"/>
      <c r="N39" s="77"/>
      <c r="O39" s="77"/>
      <c r="P39" s="77"/>
      <c r="Q39" s="77"/>
      <c r="R39" s="77"/>
      <c r="S39" s="77"/>
    </row>
    <row r="40" spans="1:19" x14ac:dyDescent="0.2">
      <c r="A40" s="77"/>
      <c r="B40" s="231" t="s">
        <v>870</v>
      </c>
      <c r="C40" s="148">
        <f>'ANTP_2.2 Custo Fixo'!H16</f>
        <v>952.28527625000004</v>
      </c>
      <c r="D40" s="148">
        <f>C40/(IF('ANTP_1.2. KM programada'!$D$9="x",SUM('ANTP_1.2. KM programada'!$Q$18:$S$117),IF('ANTP_1.2. KM programada'!$D$9="X",SUM('ANTP_1.2. KM programada'!$Q$18:$S$117),'ANTP_1.2. KM programada'!$D$12)))</f>
        <v>1.8483080552967664E-2</v>
      </c>
      <c r="E40" s="148">
        <f>C40/SUM('ANTP_1.3 Frota Total'!$C$21:$F$27)</f>
        <v>86.571388749999997</v>
      </c>
      <c r="F40" s="149">
        <f t="shared" si="1"/>
        <v>4.9911434355557321E-3</v>
      </c>
      <c r="G40" s="172"/>
      <c r="H40" s="77"/>
      <c r="I40" s="77"/>
      <c r="J40" s="968"/>
      <c r="K40" s="77"/>
      <c r="L40" s="77"/>
      <c r="M40" s="77"/>
      <c r="N40" s="77"/>
      <c r="O40" s="77"/>
      <c r="P40" s="77"/>
      <c r="Q40" s="77"/>
      <c r="R40" s="77"/>
      <c r="S40" s="77"/>
    </row>
    <row r="41" spans="1:19" x14ac:dyDescent="0.2">
      <c r="A41" s="77"/>
      <c r="B41" s="231" t="s">
        <v>871</v>
      </c>
      <c r="C41" s="148">
        <f>'ANTP_2.2 Custo Fixo'!H17</f>
        <v>0</v>
      </c>
      <c r="D41" s="148">
        <f>C41/(IF('ANTP_1.2. KM programada'!$D$9="x",SUM('ANTP_1.2. KM programada'!$Q$18:$S$117),IF('ANTP_1.2. KM programada'!$D$9="X",SUM('ANTP_1.2. KM programada'!$Q$18:$S$117),'ANTP_1.2. KM programada'!$D$12)))</f>
        <v>0</v>
      </c>
      <c r="E41" s="148">
        <f>C41/SUM('ANTP_1.3 Frota Total'!$C$21:$F$27)</f>
        <v>0</v>
      </c>
      <c r="F41" s="149">
        <f t="shared" si="1"/>
        <v>0</v>
      </c>
      <c r="G41" s="172"/>
      <c r="H41" s="77"/>
      <c r="I41" s="77"/>
      <c r="J41" s="968"/>
      <c r="K41" s="77"/>
      <c r="L41" s="77"/>
      <c r="M41" s="77"/>
      <c r="N41" s="77"/>
      <c r="O41" s="77"/>
      <c r="P41" s="77"/>
      <c r="Q41" s="77"/>
      <c r="R41" s="77"/>
      <c r="S41" s="77"/>
    </row>
    <row r="42" spans="1:19" x14ac:dyDescent="0.2">
      <c r="A42" s="77"/>
      <c r="B42" s="231" t="s">
        <v>872</v>
      </c>
      <c r="C42" s="148">
        <f>'ANTP_2.2 Custo Fixo'!H18</f>
        <v>102.33854166666667</v>
      </c>
      <c r="D42" s="148">
        <f>C42/(IF('ANTP_1.2. KM programada'!$D$9="x",SUM('ANTP_1.2. KM programada'!$Q$18:$S$117),IF('ANTP_1.2. KM programada'!$D$9="X",SUM('ANTP_1.2. KM programada'!$Q$18:$S$117),'ANTP_1.2. KM programada'!$D$12)))</f>
        <v>1.9863076291034253E-3</v>
      </c>
      <c r="E42" s="148">
        <f>C42/SUM('ANTP_1.3 Frota Total'!$C$21:$F$27)</f>
        <v>9.303503787878789</v>
      </c>
      <c r="F42" s="149">
        <f t="shared" si="1"/>
        <v>5.3637954212140443E-4</v>
      </c>
      <c r="G42" s="172"/>
      <c r="H42" s="77"/>
      <c r="I42" s="77"/>
      <c r="J42" s="968"/>
      <c r="K42" s="77"/>
      <c r="L42" s="77"/>
      <c r="M42" s="77"/>
      <c r="N42" s="77"/>
      <c r="O42" s="77"/>
      <c r="P42" s="77"/>
      <c r="Q42" s="77"/>
      <c r="R42" s="77"/>
      <c r="S42" s="77"/>
    </row>
    <row r="43" spans="1:19" x14ac:dyDescent="0.2">
      <c r="A43" s="77"/>
      <c r="B43" s="173" t="s">
        <v>367</v>
      </c>
      <c r="C43" s="150">
        <f>SUM(C37:C42)</f>
        <v>14937.255838803025</v>
      </c>
      <c r="D43" s="150">
        <f>SUM(D37:D42)</f>
        <v>0.28991995339472504</v>
      </c>
      <c r="E43" s="150">
        <f>SUM(E37:E42)</f>
        <v>1357.9323489820931</v>
      </c>
      <c r="F43" s="151">
        <f>SUM(F37:F42)</f>
        <v>7.8289550709682368E-2</v>
      </c>
      <c r="G43" s="172"/>
      <c r="H43" s="77"/>
      <c r="I43" s="184"/>
      <c r="J43" s="968"/>
      <c r="K43" s="77"/>
      <c r="L43" s="77"/>
      <c r="M43" s="77"/>
      <c r="N43" s="77"/>
      <c r="O43" s="77"/>
      <c r="P43" s="77"/>
      <c r="Q43" s="77"/>
      <c r="R43" s="77"/>
      <c r="S43" s="77"/>
    </row>
    <row r="44" spans="1:19" x14ac:dyDescent="0.2">
      <c r="A44" s="77"/>
      <c r="B44" s="155" t="s">
        <v>396</v>
      </c>
      <c r="C44" s="156"/>
      <c r="D44" s="156"/>
      <c r="E44" s="156"/>
      <c r="F44" s="157"/>
      <c r="G44" s="172"/>
      <c r="H44" s="77"/>
      <c r="I44" s="77"/>
      <c r="J44" s="968"/>
      <c r="K44" s="77"/>
      <c r="L44" s="77"/>
      <c r="M44" s="77"/>
      <c r="N44" s="77"/>
      <c r="O44" s="77"/>
      <c r="P44" s="77"/>
      <c r="Q44" s="77"/>
      <c r="R44" s="77"/>
      <c r="S44" s="77"/>
    </row>
    <row r="45" spans="1:19" x14ac:dyDescent="0.2">
      <c r="A45" s="77"/>
      <c r="B45" s="231" t="s">
        <v>873</v>
      </c>
      <c r="C45" s="158">
        <f>'ANTP_2.2 Custo Fixo'!H32</f>
        <v>2527.7999999999997</v>
      </c>
      <c r="D45" s="158">
        <f>C45/(IF('ANTP_1.2. KM programada'!$D$9="x",SUM('ANTP_1.2. KM programada'!$Q$18:$S$117),IF('ANTP_1.2. KM programada'!$D$9="X",SUM('ANTP_1.2. KM programada'!$Q$18:$S$117),'ANTP_1.2. KM programada'!$D$12)))</f>
        <v>4.9062536392220794E-2</v>
      </c>
      <c r="E45" s="158">
        <f>C45/SUM('ANTP_1.3 Frota Total'!$C$21:$F$27)</f>
        <v>229.79999999999998</v>
      </c>
      <c r="F45" s="159">
        <f>C45/$C$49</f>
        <v>1.3248773966222266E-2</v>
      </c>
      <c r="G45" s="172"/>
      <c r="H45" s="77"/>
      <c r="I45" s="77"/>
      <c r="J45" s="968"/>
      <c r="K45" s="77"/>
      <c r="L45" s="77"/>
      <c r="M45" s="77"/>
      <c r="N45" s="77"/>
      <c r="O45" s="77"/>
      <c r="P45" s="77"/>
      <c r="Q45" s="77"/>
      <c r="R45" s="77"/>
      <c r="S45" s="77"/>
    </row>
    <row r="46" spans="1:19" ht="13.5" customHeight="1" x14ac:dyDescent="0.2">
      <c r="A46" s="77"/>
      <c r="B46" s="231" t="s">
        <v>874</v>
      </c>
      <c r="C46" s="158">
        <f>'ANTP_2.2 Custo Fixo'!H33</f>
        <v>0</v>
      </c>
      <c r="D46" s="158">
        <f>C46/(IF('ANTP_1.2. KM programada'!$D$9="x",SUM('ANTP_1.2. KM programada'!$Q$18:$S$117),IF('ANTP_1.2. KM programada'!$D$9="X",SUM('ANTP_1.2. KM programada'!$Q$18:$S$117),'ANTP_1.2. KM programada'!$D$12)))</f>
        <v>0</v>
      </c>
      <c r="E46" s="158">
        <f>C46/SUM('ANTP_1.3 Frota Total'!$C$21:$F$27)</f>
        <v>0</v>
      </c>
      <c r="F46" s="159">
        <f>C46/$C$49</f>
        <v>0</v>
      </c>
      <c r="G46" s="172"/>
      <c r="H46" s="77"/>
      <c r="I46" s="184"/>
      <c r="J46" s="968"/>
      <c r="K46" s="77"/>
      <c r="L46" s="77"/>
      <c r="M46" s="77"/>
      <c r="N46" s="77"/>
      <c r="O46" s="77"/>
      <c r="P46" s="77"/>
      <c r="Q46" s="77"/>
      <c r="R46" s="77"/>
      <c r="S46" s="77"/>
    </row>
    <row r="47" spans="1:19" ht="13.5" customHeight="1" x14ac:dyDescent="0.2">
      <c r="A47" s="77"/>
      <c r="B47" s="181" t="s">
        <v>875</v>
      </c>
      <c r="C47" s="158">
        <f>'ANTP_2.2 Custo Fixo'!H34</f>
        <v>2900</v>
      </c>
      <c r="D47" s="158">
        <f>C47/(IF('ANTP_1.2. KM programada'!$D$9="x",SUM('ANTP_1.2. KM programada'!$Q$18:$S$117),IF('ANTP_1.2. KM programada'!$D$9="X",SUM('ANTP_1.2. KM programada'!$Q$18:$S$117),'ANTP_1.2. KM programada'!$D$12)))</f>
        <v>5.6286634835604206E-2</v>
      </c>
      <c r="E47" s="158">
        <f>C47/SUM('ANTP_1.3 Frota Total'!$C$21:$F$27)</f>
        <v>263.63636363636363</v>
      </c>
      <c r="F47" s="159">
        <f>C47/$C$49</f>
        <v>1.5199558707985035E-2</v>
      </c>
      <c r="G47" s="172"/>
      <c r="H47" s="77"/>
      <c r="I47" s="77"/>
      <c r="J47" s="77"/>
      <c r="K47" s="77"/>
      <c r="L47" s="77"/>
      <c r="M47" s="77"/>
      <c r="N47" s="77"/>
      <c r="O47" s="77"/>
      <c r="P47" s="77"/>
      <c r="Q47" s="77"/>
      <c r="R47" s="77"/>
      <c r="S47" s="77"/>
    </row>
    <row r="48" spans="1:19" ht="15.75" customHeight="1" x14ac:dyDescent="0.2">
      <c r="A48" s="77"/>
      <c r="B48" s="180" t="s">
        <v>367</v>
      </c>
      <c r="C48" s="160">
        <f>SUM(C45:C47)</f>
        <v>5427.7999999999993</v>
      </c>
      <c r="D48" s="160">
        <f>SUM(D45:D47)</f>
        <v>0.105349171227825</v>
      </c>
      <c r="E48" s="160">
        <f>SUM(E45:E47)</f>
        <v>493.43636363636358</v>
      </c>
      <c r="F48" s="161">
        <f>SUM(F45:F47)</f>
        <v>2.8448332674207301E-2</v>
      </c>
      <c r="G48" s="172"/>
      <c r="H48" s="184"/>
      <c r="I48" s="77"/>
      <c r="J48" s="77"/>
      <c r="K48" s="77"/>
      <c r="L48" s="77"/>
      <c r="M48" s="77"/>
      <c r="N48" s="77"/>
      <c r="O48" s="77"/>
      <c r="P48" s="77"/>
      <c r="Q48" s="77"/>
      <c r="R48" s="77"/>
      <c r="S48" s="77"/>
    </row>
    <row r="49" spans="1:19" x14ac:dyDescent="0.2">
      <c r="A49" s="77"/>
      <c r="B49" s="182" t="s">
        <v>834</v>
      </c>
      <c r="C49" s="162">
        <f>C20+C27+C35+C43+C48</f>
        <v>190795.01291550623</v>
      </c>
      <c r="D49" s="162">
        <f>D20+D27+D35+D43+D48</f>
        <v>3.7031755932515482</v>
      </c>
      <c r="E49" s="162">
        <f>E20+E27+E35+E43+E48</f>
        <v>17345.001174136931</v>
      </c>
      <c r="F49" s="163">
        <f>F20+F27+F35+F43+F48</f>
        <v>1</v>
      </c>
      <c r="G49" s="172"/>
      <c r="H49" s="77"/>
      <c r="I49" s="77"/>
      <c r="J49" s="77"/>
      <c r="K49" s="77"/>
      <c r="L49" s="77"/>
      <c r="M49" s="77"/>
      <c r="N49" s="77"/>
      <c r="O49" s="77"/>
      <c r="P49" s="77"/>
      <c r="Q49" s="77"/>
      <c r="R49" s="77"/>
      <c r="S49" s="77"/>
    </row>
    <row r="50" spans="1:19" x14ac:dyDescent="0.2">
      <c r="A50" s="77"/>
      <c r="B50" s="164"/>
      <c r="C50" s="131"/>
      <c r="D50" s="131"/>
      <c r="E50" s="131"/>
      <c r="F50" s="131"/>
      <c r="G50" s="172"/>
      <c r="H50" s="77"/>
      <c r="I50" s="77"/>
      <c r="J50" s="77"/>
      <c r="K50" s="77"/>
      <c r="L50" s="77"/>
      <c r="M50" s="77"/>
      <c r="N50" s="77"/>
      <c r="O50" s="77"/>
      <c r="P50" s="77"/>
      <c r="Q50" s="77"/>
      <c r="R50" s="77"/>
      <c r="S50" s="77"/>
    </row>
    <row r="51" spans="1:19" x14ac:dyDescent="0.2">
      <c r="A51" s="77"/>
      <c r="B51" s="176" t="s">
        <v>825</v>
      </c>
      <c r="C51" s="162">
        <f>C49+C15</f>
        <v>394807.10856190627</v>
      </c>
      <c r="D51" s="162">
        <f>D49+D15</f>
        <v>7.6628839828016435</v>
      </c>
      <c r="E51" s="162">
        <f>E49+E15</f>
        <v>35891.555323809662</v>
      </c>
      <c r="F51" s="3"/>
      <c r="G51" s="172"/>
      <c r="H51" s="77"/>
      <c r="I51" s="184"/>
      <c r="J51" s="77"/>
      <c r="K51" s="77"/>
      <c r="L51" s="77"/>
      <c r="M51" s="77"/>
      <c r="N51" s="77"/>
      <c r="O51" s="77"/>
      <c r="P51" s="77"/>
      <c r="Q51" s="77"/>
      <c r="R51" s="77"/>
      <c r="S51" s="77"/>
    </row>
    <row r="52" spans="1:19" x14ac:dyDescent="0.2">
      <c r="A52" s="77"/>
      <c r="B52" s="164"/>
      <c r="C52" s="131"/>
      <c r="D52" s="131"/>
      <c r="E52" s="131"/>
      <c r="F52" s="131"/>
      <c r="G52" s="172"/>
      <c r="H52" s="77"/>
      <c r="I52" s="217"/>
      <c r="J52" s="77"/>
      <c r="K52" s="77"/>
      <c r="L52" s="77"/>
      <c r="M52" s="77"/>
      <c r="N52" s="77"/>
      <c r="O52" s="77"/>
      <c r="P52" s="77"/>
      <c r="Q52" s="77"/>
      <c r="R52" s="77"/>
      <c r="S52" s="77"/>
    </row>
    <row r="53" spans="1:19" x14ac:dyDescent="0.2">
      <c r="A53" s="77"/>
      <c r="B53" s="179" t="s">
        <v>364</v>
      </c>
      <c r="C53" s="165">
        <f>'ANTP_4. Custo Total'!H9</f>
        <v>11133.560461445757</v>
      </c>
      <c r="D53" s="165">
        <f>C53/(IF('ANTP_1.2. KM programada'!$D$9="x",SUM('ANTP_1.2. KM programada'!$Q$18:$S$117),IF('ANTP_1.2. KM programada'!$D$9="X",SUM('ANTP_1.2. KM programada'!$Q$18:$S$117),'ANTP_1.2. KM programada'!$D$12)))</f>
        <v>0.21609332831500636</v>
      </c>
      <c r="E53" s="165">
        <f>C53/SUM('ANTP_1.3 Frota Total'!$C$21:$F$27)</f>
        <v>1012.1418601314325</v>
      </c>
      <c r="F53" s="3"/>
      <c r="G53" s="172"/>
      <c r="H53" s="77"/>
      <c r="I53" s="217"/>
      <c r="J53" s="77"/>
      <c r="K53" s="77"/>
      <c r="L53" s="77"/>
      <c r="M53" s="77"/>
      <c r="N53" s="77"/>
      <c r="O53" s="77"/>
      <c r="P53" s="77"/>
      <c r="Q53" s="77"/>
      <c r="R53" s="77"/>
      <c r="S53" s="77"/>
    </row>
    <row r="54" spans="1:19" x14ac:dyDescent="0.2">
      <c r="A54" s="77"/>
      <c r="B54" s="131"/>
      <c r="C54" s="131"/>
      <c r="D54" s="131"/>
      <c r="E54" s="131"/>
      <c r="F54" s="131"/>
      <c r="G54" s="172"/>
      <c r="H54" s="77"/>
      <c r="I54" s="217"/>
      <c r="J54" s="77"/>
      <c r="K54" s="77"/>
      <c r="L54" s="77"/>
      <c r="M54" s="77"/>
      <c r="N54" s="77"/>
      <c r="O54" s="77"/>
      <c r="P54" s="77"/>
      <c r="Q54" s="77"/>
      <c r="R54" s="77"/>
      <c r="S54" s="77"/>
    </row>
    <row r="55" spans="1:19" x14ac:dyDescent="0.2">
      <c r="A55" s="77"/>
      <c r="B55" s="1012" t="s">
        <v>835</v>
      </c>
      <c r="C55" s="1013"/>
      <c r="D55" s="1013"/>
      <c r="E55" s="1013"/>
      <c r="F55" s="1014"/>
      <c r="G55" s="172"/>
      <c r="H55" s="77"/>
      <c r="I55" s="217"/>
      <c r="J55" s="583"/>
      <c r="K55" s="585"/>
      <c r="M55" s="578"/>
      <c r="N55" s="578"/>
      <c r="O55" s="578"/>
      <c r="Q55" s="77"/>
      <c r="R55" s="77"/>
      <c r="S55" s="77"/>
    </row>
    <row r="56" spans="1:19" x14ac:dyDescent="0.2">
      <c r="A56" s="77"/>
      <c r="B56" s="1017" t="s">
        <v>1063</v>
      </c>
      <c r="C56" s="1018"/>
      <c r="D56" s="1018"/>
      <c r="E56" s="1018"/>
      <c r="F56" s="166">
        <f>'ANTP_2.1.c Insumos'!F96/100</f>
        <v>0.01</v>
      </c>
      <c r="G56" s="172"/>
      <c r="H56" s="77"/>
      <c r="I56" s="968"/>
      <c r="J56" s="949"/>
      <c r="K56" s="573"/>
      <c r="L56" s="584"/>
      <c r="N56" s="573"/>
      <c r="O56" s="573"/>
      <c r="P56" s="77"/>
      <c r="Q56" s="77"/>
      <c r="R56" s="77"/>
      <c r="S56" s="77"/>
    </row>
    <row r="57" spans="1:19" x14ac:dyDescent="0.2">
      <c r="A57" s="77"/>
      <c r="B57" s="1015" t="s">
        <v>365</v>
      </c>
      <c r="C57" s="1016"/>
      <c r="D57" s="1016"/>
      <c r="E57" s="1016"/>
      <c r="F57" s="166">
        <f>'ANTP_2.1.c Insumos'!F92/100</f>
        <v>0.05</v>
      </c>
      <c r="G57" s="172"/>
      <c r="H57" s="77"/>
      <c r="I57" s="968"/>
      <c r="J57" s="949"/>
      <c r="K57" s="573"/>
      <c r="L57" s="584"/>
      <c r="N57" s="573"/>
      <c r="O57" s="573"/>
      <c r="P57" s="77"/>
      <c r="Q57" s="77"/>
      <c r="R57" s="77"/>
      <c r="S57" s="77"/>
    </row>
    <row r="58" spans="1:19" x14ac:dyDescent="0.2">
      <c r="A58" s="77"/>
      <c r="B58" s="1015" t="s">
        <v>884</v>
      </c>
      <c r="C58" s="1016"/>
      <c r="D58" s="1016"/>
      <c r="E58" s="1016"/>
      <c r="F58" s="166">
        <f>'ANTP_2.1.c Insumos'!F97/100</f>
        <v>0</v>
      </c>
      <c r="G58" s="172"/>
      <c r="H58" s="77"/>
      <c r="I58" s="968"/>
      <c r="J58" s="217"/>
      <c r="K58" s="217"/>
      <c r="L58" s="584"/>
      <c r="N58" s="217"/>
      <c r="O58" s="217"/>
      <c r="P58" s="77"/>
      <c r="Q58" s="77"/>
      <c r="R58" s="77"/>
      <c r="S58" s="77"/>
    </row>
    <row r="59" spans="1:19" x14ac:dyDescent="0.2">
      <c r="A59" s="77"/>
      <c r="B59" s="1015" t="s">
        <v>885</v>
      </c>
      <c r="C59" s="1016"/>
      <c r="D59" s="1016"/>
      <c r="E59" s="1016"/>
      <c r="F59" s="166">
        <f>'ANTP_2.1.c Insumos'!F95/100</f>
        <v>0</v>
      </c>
      <c r="G59" s="172"/>
      <c r="H59" s="77"/>
      <c r="I59" s="968"/>
      <c r="J59" s="78"/>
      <c r="K59" s="78"/>
      <c r="L59" s="584"/>
      <c r="N59" s="78"/>
      <c r="O59" s="78"/>
      <c r="P59" s="77"/>
      <c r="Q59" s="77"/>
      <c r="R59" s="77"/>
      <c r="S59" s="77"/>
    </row>
    <row r="60" spans="1:19" x14ac:dyDescent="0.2">
      <c r="A60" s="77"/>
      <c r="B60" s="1015" t="s">
        <v>886</v>
      </c>
      <c r="C60" s="1016"/>
      <c r="D60" s="1016"/>
      <c r="E60" s="1016"/>
      <c r="F60" s="166">
        <f>'ANTP_2.1.c Insumos'!F93/100</f>
        <v>0</v>
      </c>
      <c r="G60" s="172"/>
      <c r="H60" s="77"/>
      <c r="I60" s="968"/>
      <c r="J60" s="217"/>
      <c r="K60" s="217"/>
      <c r="L60" s="584"/>
      <c r="N60" s="217"/>
      <c r="O60" s="217"/>
      <c r="P60" s="77"/>
      <c r="Q60" s="77"/>
      <c r="R60" s="77"/>
      <c r="S60" s="77"/>
    </row>
    <row r="61" spans="1:19" x14ac:dyDescent="0.2">
      <c r="A61" s="77"/>
      <c r="B61" s="1015" t="s">
        <v>837</v>
      </c>
      <c r="C61" s="1016"/>
      <c r="D61" s="1016"/>
      <c r="E61" s="1016"/>
      <c r="F61" s="166">
        <f>'ANTP_2.1.c Insumos'!F94/100</f>
        <v>0</v>
      </c>
      <c r="G61" s="172"/>
      <c r="H61" s="77"/>
      <c r="I61" s="968"/>
      <c r="J61" s="217"/>
      <c r="K61" s="217"/>
      <c r="L61" s="584"/>
      <c r="N61" s="217"/>
      <c r="O61" s="217"/>
      <c r="P61" s="77"/>
      <c r="Q61" s="77"/>
      <c r="R61" s="77"/>
      <c r="S61" s="77"/>
    </row>
    <row r="62" spans="1:19" x14ac:dyDescent="0.2">
      <c r="A62" s="77"/>
      <c r="B62" s="1022" t="s">
        <v>887</v>
      </c>
      <c r="C62" s="1023"/>
      <c r="D62" s="1023"/>
      <c r="E62" s="1023"/>
      <c r="F62" s="167">
        <f>'ANTP_2.1.c Insumos'!F98/100</f>
        <v>0</v>
      </c>
      <c r="G62" s="172"/>
      <c r="H62" s="77"/>
      <c r="I62" s="976"/>
      <c r="J62" s="217"/>
      <c r="K62" s="217"/>
      <c r="L62" s="584"/>
      <c r="N62" s="217"/>
      <c r="O62" s="217"/>
      <c r="P62" s="77"/>
      <c r="Q62" s="77"/>
      <c r="R62" s="77"/>
      <c r="S62" s="77"/>
    </row>
    <row r="63" spans="1:19" x14ac:dyDescent="0.2">
      <c r="A63" s="77"/>
      <c r="B63" s="1019" t="s">
        <v>797</v>
      </c>
      <c r="C63" s="1020"/>
      <c r="D63" s="1020"/>
      <c r="E63" s="1021"/>
      <c r="F63" s="168">
        <f>SUM(F56:F62)</f>
        <v>6.0000000000000005E-2</v>
      </c>
      <c r="G63" s="172"/>
      <c r="H63" s="77"/>
      <c r="I63" s="968"/>
      <c r="J63" s="218"/>
      <c r="K63" s="218"/>
      <c r="L63" s="584"/>
      <c r="N63" s="218"/>
      <c r="O63" s="218"/>
      <c r="P63" s="77"/>
      <c r="Q63" s="77"/>
      <c r="R63" s="77"/>
      <c r="S63" s="77"/>
    </row>
    <row r="64" spans="1:19" x14ac:dyDescent="0.2">
      <c r="A64" s="77"/>
      <c r="B64" s="176" t="s">
        <v>836</v>
      </c>
      <c r="C64" s="162">
        <f>(C51+C53)*(1/(1-$F$63)-1)</f>
        <v>25911.10653340544</v>
      </c>
      <c r="D64" s="162">
        <f>(D51+D53)*(1/(1-$F$63)-1)</f>
        <v>0.50291344539042426</v>
      </c>
      <c r="E64" s="162">
        <f>(E51+E53)*(1/(1-$F$63)-1)</f>
        <v>2355.5551394004947</v>
      </c>
      <c r="F64" s="3"/>
      <c r="G64" s="172"/>
      <c r="H64" s="77"/>
      <c r="I64" s="968"/>
      <c r="J64" s="78"/>
      <c r="K64" s="78"/>
      <c r="L64" s="584"/>
      <c r="N64" s="78"/>
      <c r="O64" s="78"/>
      <c r="P64" s="77"/>
      <c r="Q64" s="77"/>
      <c r="R64" s="77"/>
      <c r="S64" s="77"/>
    </row>
    <row r="65" spans="1:19" x14ac:dyDescent="0.2">
      <c r="A65" s="77"/>
      <c r="B65" s="131"/>
      <c r="C65" s="131"/>
      <c r="D65" s="131"/>
      <c r="E65" s="131"/>
      <c r="F65" s="131"/>
      <c r="G65" s="172"/>
      <c r="H65" s="77"/>
      <c r="I65" s="968"/>
      <c r="J65" s="217"/>
      <c r="K65" s="217"/>
      <c r="L65" s="584"/>
      <c r="N65" s="217"/>
      <c r="O65" s="217"/>
      <c r="P65" s="77"/>
      <c r="Q65" s="77"/>
      <c r="R65" s="77"/>
      <c r="S65" s="77"/>
    </row>
    <row r="66" spans="1:19" x14ac:dyDescent="0.2">
      <c r="A66" s="77"/>
      <c r="B66" s="178" t="s">
        <v>801</v>
      </c>
      <c r="C66" s="169">
        <f>(C15+C49+C53)/(1-F63)</f>
        <v>431851.77555675752</v>
      </c>
      <c r="D66" s="169">
        <f>D64+D53+D51</f>
        <v>8.3818907565070742</v>
      </c>
      <c r="E66" s="169">
        <f>E64+E53+E51</f>
        <v>39259.252323341592</v>
      </c>
      <c r="F66" s="3"/>
      <c r="G66" s="172"/>
      <c r="H66" s="77"/>
      <c r="I66" s="968"/>
      <c r="J66" s="184"/>
      <c r="K66" s="184"/>
      <c r="L66" s="584"/>
      <c r="N66" s="184"/>
      <c r="O66" s="184"/>
      <c r="P66" s="77"/>
      <c r="Q66" s="77"/>
      <c r="R66" s="77"/>
      <c r="S66" s="77"/>
    </row>
    <row r="67" spans="1:19" x14ac:dyDescent="0.2">
      <c r="B67" s="77"/>
      <c r="C67" s="77"/>
      <c r="D67" s="77"/>
      <c r="E67" s="77"/>
      <c r="F67" s="77"/>
      <c r="I67" s="77"/>
      <c r="J67" s="217"/>
      <c r="K67" s="217"/>
      <c r="L67" s="584"/>
      <c r="N67" s="217"/>
      <c r="O67" s="217"/>
      <c r="P67" s="77"/>
      <c r="Q67" s="77"/>
      <c r="R67" s="77"/>
      <c r="S67" s="77"/>
    </row>
    <row r="68" spans="1:19" x14ac:dyDescent="0.2">
      <c r="B68" s="1029" t="s">
        <v>894</v>
      </c>
      <c r="C68" s="1030"/>
      <c r="D68" s="1030"/>
      <c r="E68" s="1030"/>
      <c r="F68" s="1031"/>
      <c r="I68" s="77"/>
      <c r="J68" s="65"/>
      <c r="K68" s="65"/>
      <c r="L68" s="584"/>
      <c r="N68" s="65"/>
      <c r="O68" s="65"/>
    </row>
    <row r="69" spans="1:19" x14ac:dyDescent="0.2">
      <c r="B69" s="1009" t="s">
        <v>888</v>
      </c>
      <c r="C69" s="1010"/>
      <c r="D69" s="1010"/>
      <c r="E69" s="1010"/>
      <c r="F69" s="186">
        <f>'ANTP_1.4 Indicadores'!E11</f>
        <v>51522</v>
      </c>
      <c r="I69" s="77"/>
      <c r="J69" s="219"/>
      <c r="K69" s="219"/>
      <c r="L69" s="584"/>
      <c r="M69" s="219"/>
      <c r="N69" s="219"/>
      <c r="O69" s="219"/>
    </row>
    <row r="70" spans="1:19" x14ac:dyDescent="0.2">
      <c r="B70" s="1009" t="s">
        <v>890</v>
      </c>
      <c r="C70" s="1010"/>
      <c r="D70" s="1010"/>
      <c r="E70" s="1010"/>
      <c r="F70" s="187">
        <f>ROUND(FC_Premissas!D6/12,0)</f>
        <v>19887</v>
      </c>
      <c r="I70" s="572"/>
      <c r="J70" s="78"/>
      <c r="L70" s="584"/>
    </row>
    <row r="71" spans="1:19" x14ac:dyDescent="0.2">
      <c r="B71" s="1009" t="s">
        <v>889</v>
      </c>
      <c r="C71" s="1010"/>
      <c r="D71" s="1010"/>
      <c r="E71" s="1010"/>
      <c r="F71" s="187">
        <f>'ANTP_1.4 Indicadores'!E18</f>
        <v>11</v>
      </c>
      <c r="I71" s="572"/>
      <c r="J71" s="948"/>
    </row>
    <row r="72" spans="1:19" x14ac:dyDescent="0.2">
      <c r="B72" s="1009" t="s">
        <v>891</v>
      </c>
      <c r="C72" s="1010"/>
      <c r="D72" s="1010"/>
      <c r="E72" s="1010"/>
      <c r="F72" s="187">
        <f>ROUND('ANTP_1.4 Indicadores'!E19,0)</f>
        <v>9</v>
      </c>
      <c r="I72" s="77"/>
      <c r="J72" s="221"/>
    </row>
    <row r="73" spans="1:19" x14ac:dyDescent="0.2">
      <c r="B73" s="1009" t="s">
        <v>892</v>
      </c>
      <c r="C73" s="1010"/>
      <c r="D73" s="1010"/>
      <c r="E73" s="1010"/>
      <c r="F73" s="186">
        <f>'ANTP_1.4 Indicadores'!E22</f>
        <v>5724.666666666667</v>
      </c>
      <c r="I73" s="572"/>
      <c r="J73" s="219"/>
    </row>
    <row r="74" spans="1:19" x14ac:dyDescent="0.2">
      <c r="B74" s="1009" t="s">
        <v>893</v>
      </c>
      <c r="C74" s="1010"/>
      <c r="D74" s="1010"/>
      <c r="E74" s="1010"/>
      <c r="F74" s="188">
        <f>F70/F69</f>
        <v>0.38599045068126236</v>
      </c>
      <c r="I74" s="948"/>
      <c r="J74" s="220"/>
    </row>
    <row r="75" spans="1:19" x14ac:dyDescent="0.2">
      <c r="B75" s="1009" t="s">
        <v>1184</v>
      </c>
      <c r="C75" s="1010"/>
      <c r="D75" s="1010"/>
      <c r="E75" s="1010"/>
      <c r="F75" s="589">
        <f>'ANTP_2.1.c Insumos'!F101</f>
        <v>4059.4066902335203</v>
      </c>
      <c r="I75" s="572"/>
      <c r="J75" s="948"/>
    </row>
    <row r="76" spans="1:19" x14ac:dyDescent="0.2">
      <c r="B76" s="1009" t="s">
        <v>1188</v>
      </c>
      <c r="C76" s="1010"/>
      <c r="D76" s="1010"/>
      <c r="E76" s="1010"/>
      <c r="F76" s="590">
        <f>'ANTP_1.4 Indicadores'!E7</f>
        <v>4</v>
      </c>
      <c r="I76" s="572"/>
      <c r="J76" s="219"/>
    </row>
    <row r="77" spans="1:19" ht="23.25" customHeight="1" x14ac:dyDescent="0.35">
      <c r="B77" s="1007" t="s">
        <v>1183</v>
      </c>
      <c r="C77" s="1008"/>
      <c r="D77" s="1008"/>
      <c r="E77" s="1008"/>
      <c r="F77" s="591">
        <f>(C66-F75)/F69</f>
        <v>8.3031009833959093</v>
      </c>
    </row>
    <row r="78" spans="1:19" ht="23.25" customHeight="1" x14ac:dyDescent="0.2">
      <c r="B78" s="1007" t="str">
        <f>"Déficit do Sistema.........................................................................................."</f>
        <v>Déficit do Sistema..........................................................................................</v>
      </c>
      <c r="C78" s="1008"/>
      <c r="D78" s="1008"/>
      <c r="E78" s="1008"/>
      <c r="F78" s="586">
        <f>C66-F75</f>
        <v>427792.36886652402</v>
      </c>
      <c r="G78" s="592"/>
      <c r="I78" s="572"/>
      <c r="J78" s="219"/>
      <c r="M78" s="65"/>
    </row>
    <row r="79" spans="1:19" ht="23.25" customHeight="1" x14ac:dyDescent="0.2">
      <c r="B79" s="1007" t="str">
        <f>"Receita Tarifária Estimada (Demanda equiv. = "&amp;LEFT(F70,2)&amp;"."&amp;RIGHT(F70,3)&amp;" passageiros)....................."</f>
        <v>Receita Tarifária Estimada (Demanda equiv. = 19.887 passageiros).....................</v>
      </c>
      <c r="C79" s="1008"/>
      <c r="D79" s="1008"/>
      <c r="E79" s="1008"/>
      <c r="F79" s="586">
        <f>(F76*F70)</f>
        <v>79548</v>
      </c>
      <c r="G79" s="592"/>
      <c r="J79" s="219"/>
      <c r="K79" s="221"/>
      <c r="M79" s="65"/>
    </row>
    <row r="80" spans="1:19" ht="23.25" customHeight="1" x14ac:dyDescent="0.2">
      <c r="B80" s="1007" t="str">
        <f>"Subsídio Estimado (previsão inicial)..............................................................................................."</f>
        <v>Subsídio Estimado (previsão inicial)...............................................................................................</v>
      </c>
      <c r="C80" s="1008"/>
      <c r="D80" s="1008"/>
      <c r="E80" s="1008"/>
      <c r="F80" s="586">
        <f>'Resultados_Tarifa e TIR'!B13</f>
        <v>348244.36886652402</v>
      </c>
      <c r="G80" s="592"/>
      <c r="I80" s="65"/>
    </row>
    <row r="81" spans="2:16" ht="26.25" x14ac:dyDescent="0.2">
      <c r="B81" s="1002" t="s">
        <v>1366</v>
      </c>
      <c r="C81" s="1003"/>
      <c r="D81" s="1003"/>
      <c r="E81" s="1003"/>
      <c r="F81" s="586">
        <v>21.51</v>
      </c>
      <c r="J81" s="571"/>
      <c r="P81" s="221"/>
    </row>
    <row r="82" spans="2:16" ht="26.25" x14ac:dyDescent="0.2">
      <c r="B82" s="1004" t="s">
        <v>1367</v>
      </c>
      <c r="C82" s="1005"/>
      <c r="D82" s="1005"/>
      <c r="E82" s="1005"/>
      <c r="F82" s="952">
        <f>ROUND(F78/F70,2)</f>
        <v>21.51</v>
      </c>
    </row>
    <row r="83" spans="2:16" ht="26.25" x14ac:dyDescent="0.2">
      <c r="B83" s="1006" t="s">
        <v>1368</v>
      </c>
      <c r="C83" s="1005"/>
      <c r="D83" s="1005"/>
      <c r="E83" s="1005"/>
      <c r="F83" s="870">
        <f>ROUND(IF(-(F82/F81-1)&lt;0,"ERRO",-(F82/F81-1)),5)</f>
        <v>0</v>
      </c>
    </row>
    <row r="85" spans="2:16" x14ac:dyDescent="0.2">
      <c r="F85" s="65"/>
    </row>
    <row r="86" spans="2:16" x14ac:dyDescent="0.2">
      <c r="L86" s="572"/>
      <c r="M86" s="572"/>
    </row>
    <row r="87" spans="2:16" x14ac:dyDescent="0.2">
      <c r="J87" s="571"/>
      <c r="K87" s="571"/>
      <c r="L87" s="571"/>
      <c r="M87" s="571"/>
    </row>
    <row r="88" spans="2:16" x14ac:dyDescent="0.2">
      <c r="J88" s="571"/>
      <c r="K88" s="571"/>
      <c r="L88" s="571"/>
      <c r="M88" s="571"/>
    </row>
    <row r="89" spans="2:16" x14ac:dyDescent="0.2">
      <c r="J89" s="571"/>
      <c r="K89" s="571"/>
      <c r="L89" s="571"/>
      <c r="M89" s="571"/>
      <c r="N89" s="65"/>
    </row>
    <row r="90" spans="2:16" x14ac:dyDescent="0.2">
      <c r="J90" s="576"/>
      <c r="K90" s="576"/>
      <c r="L90" s="576"/>
      <c r="M90" s="577"/>
      <c r="N90" s="577"/>
      <c r="P90" s="65"/>
    </row>
    <row r="91" spans="2:16" x14ac:dyDescent="0.2">
      <c r="J91" s="571"/>
      <c r="K91" s="571"/>
      <c r="L91" s="571"/>
      <c r="M91" s="571"/>
      <c r="N91" s="571"/>
      <c r="P91" s="65"/>
    </row>
    <row r="93" spans="2:16" x14ac:dyDescent="0.2">
      <c r="J93" s="219"/>
      <c r="K93" s="219"/>
      <c r="L93" s="219"/>
      <c r="M93" s="219"/>
    </row>
    <row r="94" spans="2:16" x14ac:dyDescent="0.2">
      <c r="J94" s="571"/>
      <c r="K94" s="571"/>
      <c r="L94" s="571"/>
      <c r="M94" s="571"/>
    </row>
    <row r="95" spans="2:16" x14ac:dyDescent="0.2">
      <c r="J95" s="219"/>
      <c r="K95" s="219"/>
      <c r="L95" s="219"/>
      <c r="M95" s="219"/>
    </row>
    <row r="99" spans="11:12" x14ac:dyDescent="0.2">
      <c r="K99" s="576"/>
      <c r="L99" s="576"/>
    </row>
  </sheetData>
  <sheetProtection algorithmName="SHA-512" hashValue="B3Q4d5pjT55TPc+NuLcdKmxWZ8lgCQPgGF7b5NP0iHsrKyrkrTeBerqk+fFesq0/4rvJeBS6/ohMsSloH//dBw==" saltValue="YNgOsVmyi8S7eFMP19QMEg==" spinCount="100000" sheet="1" objects="1" scenarios="1"/>
  <mergeCells count="28">
    <mergeCell ref="A2:F2"/>
    <mergeCell ref="B79:E79"/>
    <mergeCell ref="B78:E78"/>
    <mergeCell ref="B5:F5"/>
    <mergeCell ref="B61:E61"/>
    <mergeCell ref="B57:E57"/>
    <mergeCell ref="B58:E58"/>
    <mergeCell ref="B60:E60"/>
    <mergeCell ref="B73:E73"/>
    <mergeCell ref="B74:E74"/>
    <mergeCell ref="B76:E76"/>
    <mergeCell ref="B75:E75"/>
    <mergeCell ref="B68:F68"/>
    <mergeCell ref="B72:E72"/>
    <mergeCell ref="B69:E69"/>
    <mergeCell ref="L11:M11"/>
    <mergeCell ref="B55:F55"/>
    <mergeCell ref="B59:E59"/>
    <mergeCell ref="B56:E56"/>
    <mergeCell ref="B63:E63"/>
    <mergeCell ref="B62:E62"/>
    <mergeCell ref="B81:E81"/>
    <mergeCell ref="B82:E82"/>
    <mergeCell ref="B83:E83"/>
    <mergeCell ref="B80:E80"/>
    <mergeCell ref="B70:E70"/>
    <mergeCell ref="B71:E71"/>
    <mergeCell ref="B77:E77"/>
  </mergeCells>
  <conditionalFormatting sqref="F82">
    <cfRule type="cellIs" dxfId="28" priority="3" operator="lessThanOrEqual">
      <formula>$F$78</formula>
    </cfRule>
    <cfRule type="cellIs" dxfId="27" priority="4" operator="greaterThan">
      <formula>$F$78</formula>
    </cfRule>
  </conditionalFormatting>
  <conditionalFormatting sqref="F83">
    <cfRule type="cellIs" dxfId="26" priority="1" operator="equal">
      <formula>"ERRO"</formula>
    </cfRule>
    <cfRule type="cellIs" dxfId="25" priority="2" operator="greaterThanOrEqual">
      <formula>0</formula>
    </cfRule>
  </conditionalFormatting>
  <pageMargins left="0.51181102362204722" right="0.31496062992125984" top="0.39370078740157483" bottom="0.39370078740157483" header="0.31496062992125984" footer="0.31496062992125984"/>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39997558519241921"/>
  </sheetPr>
  <dimension ref="A1:E11"/>
  <sheetViews>
    <sheetView workbookViewId="0"/>
  </sheetViews>
  <sheetFormatPr defaultRowHeight="12.75" x14ac:dyDescent="0.2"/>
  <sheetData>
    <row r="1" spans="1:5" ht="15" x14ac:dyDescent="0.25">
      <c r="B1" s="560" t="s">
        <v>1182</v>
      </c>
    </row>
    <row r="3" spans="1:5" ht="15" x14ac:dyDescent="0.25">
      <c r="A3" s="12" t="s">
        <v>689</v>
      </c>
    </row>
    <row r="4" spans="1:5" ht="15" x14ac:dyDescent="0.25">
      <c r="A4" s="61"/>
      <c r="B4" s="61"/>
    </row>
    <row r="5" spans="1:5" ht="15" x14ac:dyDescent="0.25">
      <c r="A5" s="14" t="s">
        <v>714</v>
      </c>
      <c r="B5" s="61" t="s">
        <v>713</v>
      </c>
    </row>
    <row r="7" spans="1:5" ht="15" x14ac:dyDescent="0.25">
      <c r="A7" s="14" t="s">
        <v>715</v>
      </c>
      <c r="B7" s="61" t="s">
        <v>716</v>
      </c>
    </row>
    <row r="8" spans="1:5" ht="15" x14ac:dyDescent="0.25">
      <c r="A8" s="14"/>
      <c r="B8" s="61"/>
    </row>
    <row r="9" spans="1:5" ht="15" x14ac:dyDescent="0.25">
      <c r="A9" s="60"/>
      <c r="B9" s="411" t="s">
        <v>236</v>
      </c>
      <c r="C9" s="412">
        <v>0.5</v>
      </c>
      <c r="D9" s="71"/>
      <c r="E9" s="60"/>
    </row>
    <row r="10" spans="1:5" ht="15" x14ac:dyDescent="0.25">
      <c r="A10" s="60"/>
      <c r="B10" s="60"/>
      <c r="C10" s="60"/>
      <c r="D10" s="413"/>
      <c r="E10" s="60"/>
    </row>
    <row r="11" spans="1:5" ht="15" x14ac:dyDescent="0.25">
      <c r="A11" s="60"/>
      <c r="B11" s="60"/>
      <c r="C11" s="60"/>
      <c r="D11" s="60"/>
      <c r="E11" s="60"/>
    </row>
  </sheetData>
  <sheetProtection algorithmName="SHA-512" hashValue="QpUt3nArug5MGadmyGfQfs/1Img4pdYvxTdx5Rqhiax7sarPfSWkPklv+l4/HVvYb3CbEIIVOfaPV9xV3hYsAg==" saltValue="WH05OwKvszt12r5aBPDQNw==" spinCount="100000" sheet="1" objects="1" scenarios="1"/>
  <pageMargins left="0.511811024" right="0.511811024" top="0.78740157499999996" bottom="0.78740157499999996" header="0.31496062000000002" footer="0.3149606200000000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39997558519241921"/>
  </sheetPr>
  <dimension ref="A1:H22"/>
  <sheetViews>
    <sheetView zoomScale="85" zoomScaleNormal="85" workbookViewId="0">
      <selection activeCell="B1" sqref="B1"/>
    </sheetView>
  </sheetViews>
  <sheetFormatPr defaultRowHeight="12.75" x14ac:dyDescent="0.2"/>
  <cols>
    <col min="1" max="1" width="6.28515625" customWidth="1"/>
    <col min="2" max="2" width="17.28515625" customWidth="1"/>
    <col min="3" max="3" width="8.140625" bestFit="1" customWidth="1"/>
  </cols>
  <sheetData>
    <row r="1" spans="1:8" ht="15" x14ac:dyDescent="0.25">
      <c r="B1" s="560" t="s">
        <v>1182</v>
      </c>
    </row>
    <row r="3" spans="1:8" x14ac:dyDescent="0.2">
      <c r="A3" s="31" t="s">
        <v>717</v>
      </c>
    </row>
    <row r="6" spans="1:8" ht="15" x14ac:dyDescent="0.25">
      <c r="A6" s="14" t="s">
        <v>718</v>
      </c>
      <c r="B6" s="61" t="s">
        <v>394</v>
      </c>
    </row>
    <row r="8" spans="1:8" ht="15" x14ac:dyDescent="0.2">
      <c r="B8" s="338"/>
      <c r="C8" s="338"/>
      <c r="D8" s="1352" t="s">
        <v>392</v>
      </c>
      <c r="E8" s="1353"/>
      <c r="F8" s="1353"/>
      <c r="G8" s="1353"/>
      <c r="H8" s="1354"/>
    </row>
    <row r="9" spans="1:8" ht="15" x14ac:dyDescent="0.2">
      <c r="B9" s="338"/>
      <c r="C9" s="338"/>
      <c r="D9" s="408">
        <v>0.25</v>
      </c>
      <c r="E9" s="408">
        <v>0.27777777777777779</v>
      </c>
      <c r="F9" s="408">
        <v>0.30555555555555552</v>
      </c>
      <c r="G9" s="408">
        <v>0.31944444444444448</v>
      </c>
      <c r="H9" s="408">
        <v>0.33333333333333331</v>
      </c>
    </row>
    <row r="10" spans="1:8" ht="15" x14ac:dyDescent="0.2">
      <c r="B10" s="1349" t="s">
        <v>393</v>
      </c>
      <c r="C10" s="409">
        <v>0.5</v>
      </c>
      <c r="D10" s="410">
        <v>2.34181818181818</v>
      </c>
      <c r="E10" s="410">
        <v>2.1065830721003098</v>
      </c>
      <c r="F10" s="410">
        <v>1.92</v>
      </c>
      <c r="G10" s="410">
        <v>1.8319307810833201</v>
      </c>
      <c r="H10" s="410">
        <v>1.7563636363636399</v>
      </c>
    </row>
    <row r="11" spans="1:8" ht="15" x14ac:dyDescent="0.2">
      <c r="B11" s="1350"/>
      <c r="C11" s="409">
        <v>0.54166666666666663</v>
      </c>
      <c r="D11" s="410">
        <v>2.6831774615161201</v>
      </c>
      <c r="E11" s="410">
        <v>2.2821316614420102</v>
      </c>
      <c r="F11" s="410">
        <v>2.0766464095249901</v>
      </c>
      <c r="G11" s="410">
        <v>1.9845916795069301</v>
      </c>
      <c r="H11" s="410">
        <v>1.9027272727272699</v>
      </c>
    </row>
    <row r="12" spans="1:8" ht="15" x14ac:dyDescent="0.2">
      <c r="B12" s="1350"/>
      <c r="C12" s="409">
        <v>0.58333333333333337</v>
      </c>
      <c r="D12" s="410">
        <v>3.0245367412140598</v>
      </c>
      <c r="E12" s="410">
        <v>2.54448426091921</v>
      </c>
      <c r="F12" s="410">
        <v>2.2363884410269099</v>
      </c>
      <c r="G12" s="410">
        <v>2.13725257793054</v>
      </c>
      <c r="H12" s="410">
        <v>2.0490909090909102</v>
      </c>
    </row>
    <row r="13" spans="1:8" ht="15" x14ac:dyDescent="0.2">
      <c r="B13" s="1350"/>
      <c r="C13" s="409">
        <v>0.625</v>
      </c>
      <c r="D13" s="410">
        <v>3.3658960209119999</v>
      </c>
      <c r="E13" s="410">
        <v>2.8515540777389399</v>
      </c>
      <c r="F13" s="410">
        <v>2.4368213101379399</v>
      </c>
      <c r="G13" s="410">
        <v>2.2899134763541502</v>
      </c>
      <c r="H13" s="410">
        <v>2.1954545454545502</v>
      </c>
    </row>
    <row r="14" spans="1:8" ht="15" x14ac:dyDescent="0.2">
      <c r="B14" s="1350"/>
      <c r="C14" s="409">
        <v>0.66666666666666663</v>
      </c>
      <c r="D14" s="410">
        <v>3.7072553006099298</v>
      </c>
      <c r="E14" s="410">
        <v>3.15862389455868</v>
      </c>
      <c r="F14" s="410">
        <v>2.7162422757842699</v>
      </c>
      <c r="G14" s="410">
        <v>2.5180610433049901</v>
      </c>
      <c r="H14" s="410">
        <v>2.34181818181818</v>
      </c>
    </row>
    <row r="15" spans="1:8" ht="15" x14ac:dyDescent="0.2">
      <c r="B15" s="1350"/>
      <c r="C15" s="409">
        <v>0.70833333333333337</v>
      </c>
      <c r="D15" s="410">
        <v>4.0486145803078699</v>
      </c>
      <c r="E15" s="410">
        <v>3.4656937113784099</v>
      </c>
      <c r="F15" s="410">
        <v>2.9956632414305999</v>
      </c>
      <c r="G15" s="410">
        <v>2.7850956819213701</v>
      </c>
      <c r="H15" s="410">
        <v>2.59783764159164</v>
      </c>
    </row>
    <row r="16" spans="1:8" ht="15" x14ac:dyDescent="0.2">
      <c r="B16" s="1350"/>
      <c r="C16" s="409">
        <v>0.75</v>
      </c>
      <c r="D16" s="410">
        <v>4.38997386000581</v>
      </c>
      <c r="E16" s="410">
        <v>3.7727635281981402</v>
      </c>
      <c r="F16" s="410">
        <v>3.2750842070769401</v>
      </c>
      <c r="G16" s="410">
        <v>3.0521303205377501</v>
      </c>
      <c r="H16" s="410">
        <v>2.8538571013650902</v>
      </c>
    </row>
    <row r="17" spans="2:8" ht="15" x14ac:dyDescent="0.2">
      <c r="B17" s="1350"/>
      <c r="C17" s="409">
        <v>0.79166666666666663</v>
      </c>
      <c r="D17" s="410">
        <v>4.7313331397037501</v>
      </c>
      <c r="E17" s="410">
        <v>4.0798333450178799</v>
      </c>
      <c r="F17" s="410">
        <v>3.5545051727232702</v>
      </c>
      <c r="G17" s="410">
        <v>3.3191649591541301</v>
      </c>
      <c r="H17" s="410">
        <v>3.1098765611385399</v>
      </c>
    </row>
    <row r="18" spans="2:8" ht="15" x14ac:dyDescent="0.2">
      <c r="B18" s="1350"/>
      <c r="C18" s="409">
        <v>0.83333333333333337</v>
      </c>
      <c r="D18" s="410">
        <v>5.0726924194016796</v>
      </c>
      <c r="E18" s="410">
        <v>4.3869031618376102</v>
      </c>
      <c r="F18" s="410">
        <v>3.8339261383696002</v>
      </c>
      <c r="G18" s="410">
        <v>3.5861995977705101</v>
      </c>
      <c r="H18" s="410">
        <v>3.3658960209119999</v>
      </c>
    </row>
    <row r="19" spans="2:8" ht="15" x14ac:dyDescent="0.2">
      <c r="B19" s="1350"/>
      <c r="C19" s="409">
        <v>0.875</v>
      </c>
      <c r="D19" s="410">
        <v>5.4140516990996197</v>
      </c>
      <c r="E19" s="410">
        <v>4.6939729786573503</v>
      </c>
      <c r="F19" s="410">
        <v>4.1133471040159399</v>
      </c>
      <c r="G19" s="410">
        <v>3.8532342363868901</v>
      </c>
      <c r="H19" s="410">
        <v>3.6219154806854501</v>
      </c>
    </row>
    <row r="20" spans="2:8" ht="15" x14ac:dyDescent="0.2">
      <c r="B20" s="1350"/>
      <c r="C20" s="409">
        <v>0.91666666666666663</v>
      </c>
      <c r="D20" s="410">
        <v>5.7554109787975598</v>
      </c>
      <c r="E20" s="410">
        <v>5.0010427954770797</v>
      </c>
      <c r="F20" s="410">
        <v>4.39276806966227</v>
      </c>
      <c r="G20" s="410">
        <v>4.1202688750032701</v>
      </c>
      <c r="H20" s="410">
        <v>3.8779349404588999</v>
      </c>
    </row>
    <row r="21" spans="2:8" ht="15" x14ac:dyDescent="0.2">
      <c r="B21" s="1350"/>
      <c r="C21" s="409">
        <v>0.95833333333333337</v>
      </c>
      <c r="D21" s="410">
        <v>6.0967702584954999</v>
      </c>
      <c r="E21" s="410">
        <v>5.3081126122968101</v>
      </c>
      <c r="F21" s="410">
        <v>4.6721890353086097</v>
      </c>
      <c r="G21" s="410">
        <v>4.3873035136196501</v>
      </c>
      <c r="H21" s="410">
        <v>4.1339544002323496</v>
      </c>
    </row>
    <row r="22" spans="2:8" ht="15" x14ac:dyDescent="0.2">
      <c r="B22" s="1351"/>
      <c r="C22" s="409">
        <v>0.99930555555555556</v>
      </c>
      <c r="D22" s="410">
        <v>6.2981722335172821</v>
      </c>
      <c r="E22" s="410">
        <v>5.4892838042204568</v>
      </c>
      <c r="F22" s="410">
        <v>4.8370474050399404</v>
      </c>
      <c r="G22" s="410">
        <v>4.5448539504033096</v>
      </c>
      <c r="H22" s="410">
        <v>4.2850058814986927</v>
      </c>
    </row>
  </sheetData>
  <mergeCells count="2">
    <mergeCell ref="B10:B22"/>
    <mergeCell ref="D8:H8"/>
  </mergeCells>
  <pageMargins left="0.511811024" right="0.511811024" top="0.78740157499999996" bottom="0.78740157499999996" header="0.31496062000000002" footer="0.3149606200000000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39997558519241921"/>
  </sheetPr>
  <dimension ref="A1:D13"/>
  <sheetViews>
    <sheetView workbookViewId="0">
      <selection activeCell="B1" sqref="B1"/>
    </sheetView>
  </sheetViews>
  <sheetFormatPr defaultRowHeight="12.75" x14ac:dyDescent="0.2"/>
  <sheetData>
    <row r="1" spans="1:4" ht="15" x14ac:dyDescent="0.25">
      <c r="B1" s="560" t="s">
        <v>1182</v>
      </c>
    </row>
    <row r="3" spans="1:4" x14ac:dyDescent="0.2">
      <c r="A3" s="337" t="s">
        <v>719</v>
      </c>
    </row>
    <row r="5" spans="1:4" ht="15" x14ac:dyDescent="0.25">
      <c r="A5" s="261" t="s">
        <v>720</v>
      </c>
      <c r="B5" s="12" t="s">
        <v>216</v>
      </c>
    </row>
    <row r="7" spans="1:4" ht="15.75" x14ac:dyDescent="0.2">
      <c r="C7" s="405" t="s">
        <v>241</v>
      </c>
      <c r="D7" s="405" t="s">
        <v>242</v>
      </c>
    </row>
    <row r="8" spans="1:4" ht="15" x14ac:dyDescent="0.2">
      <c r="A8" s="406" t="s">
        <v>217</v>
      </c>
      <c r="B8" s="406" t="s">
        <v>223</v>
      </c>
      <c r="C8" s="405" t="s">
        <v>218</v>
      </c>
      <c r="D8" s="405" t="s">
        <v>218</v>
      </c>
    </row>
    <row r="9" spans="1:4" ht="15" x14ac:dyDescent="0.2">
      <c r="A9" s="406">
        <v>1</v>
      </c>
      <c r="B9" s="406" t="s">
        <v>219</v>
      </c>
      <c r="C9" s="407">
        <v>0.29148046891328738</v>
      </c>
      <c r="D9" s="407">
        <v>0.64125703160923231</v>
      </c>
    </row>
    <row r="10" spans="1:4" ht="15" x14ac:dyDescent="0.2">
      <c r="A10" s="406">
        <v>2</v>
      </c>
      <c r="B10" s="406" t="s">
        <v>220</v>
      </c>
      <c r="C10" s="407">
        <v>0.28405714516057967</v>
      </c>
      <c r="D10" s="407">
        <v>0.55576397966200364</v>
      </c>
    </row>
    <row r="11" spans="1:4" ht="15" x14ac:dyDescent="0.2">
      <c r="A11" s="406">
        <v>3</v>
      </c>
      <c r="B11" s="406" t="s">
        <v>221</v>
      </c>
      <c r="C11" s="407">
        <v>0.28737565533092746</v>
      </c>
      <c r="D11" s="407">
        <v>0.48728915469157258</v>
      </c>
    </row>
    <row r="12" spans="1:4" ht="15" x14ac:dyDescent="0.2">
      <c r="A12" s="406">
        <v>4</v>
      </c>
      <c r="B12" s="406" t="s">
        <v>222</v>
      </c>
      <c r="C12" s="407">
        <v>0.27128360390981804</v>
      </c>
      <c r="D12" s="407">
        <v>0.41551033003908844</v>
      </c>
    </row>
    <row r="13" spans="1:4" ht="15" x14ac:dyDescent="0.2">
      <c r="A13" s="406">
        <v>5</v>
      </c>
      <c r="B13" s="406" t="s">
        <v>224</v>
      </c>
      <c r="C13" s="407">
        <v>0.24073620237561813</v>
      </c>
      <c r="D13" s="407">
        <v>0.3512380657611478</v>
      </c>
    </row>
  </sheetData>
  <pageMargins left="0.511811024" right="0.511811024" top="0.78740157499999996" bottom="0.78740157499999996" header="0.31496062000000002" footer="0.31496062000000002"/>
  <pageSetup paperSize="9" orientation="portrait" verticalDpi="0"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39997558519241921"/>
  </sheetPr>
  <dimension ref="A1:Y48"/>
  <sheetViews>
    <sheetView topLeftCell="A6" zoomScaleNormal="100" workbookViewId="0"/>
  </sheetViews>
  <sheetFormatPr defaultColWidth="11.42578125" defaultRowHeight="12.75" x14ac:dyDescent="0.2"/>
  <cols>
    <col min="1" max="1" width="11.42578125" style="382" customWidth="1"/>
    <col min="2" max="2" width="10" style="338" customWidth="1"/>
    <col min="3" max="3" width="16.42578125" style="338" bestFit="1" customWidth="1"/>
    <col min="4" max="4" width="11.7109375" style="338" customWidth="1"/>
    <col min="5" max="5" width="10" style="338" bestFit="1" customWidth="1"/>
    <col min="6" max="6" width="10.7109375" style="338" bestFit="1" customWidth="1"/>
    <col min="7" max="7" width="9.28515625" style="338" bestFit="1" customWidth="1"/>
    <col min="8" max="8" width="11.28515625" style="338" bestFit="1" customWidth="1"/>
    <col min="9" max="9" width="9.28515625" style="338" bestFit="1" customWidth="1"/>
    <col min="10" max="10" width="10.7109375" style="338" bestFit="1" customWidth="1"/>
    <col min="11" max="11" width="2.85546875" style="338" customWidth="1"/>
    <col min="12" max="12" width="8" style="338" customWidth="1"/>
    <col min="13" max="13" width="27.140625" style="338" customWidth="1"/>
    <col min="14" max="14" width="10.42578125" style="338" customWidth="1"/>
    <col min="15" max="16" width="11.42578125" style="338" customWidth="1"/>
    <col min="17" max="17" width="24.7109375" style="338" customWidth="1"/>
    <col min="18" max="18" width="11.28515625" style="338" customWidth="1"/>
    <col min="19" max="21" width="11.42578125" style="338" customWidth="1"/>
    <col min="22" max="22" width="9.5703125" style="338" bestFit="1" customWidth="1"/>
    <col min="23" max="16384" width="11.42578125" style="338"/>
  </cols>
  <sheetData>
    <row r="1" spans="1:25" ht="15" x14ac:dyDescent="0.25">
      <c r="B1" s="560" t="s">
        <v>1182</v>
      </c>
    </row>
    <row r="3" spans="1:25" x14ac:dyDescent="0.2">
      <c r="A3" s="337" t="s">
        <v>852</v>
      </c>
    </row>
    <row r="4" spans="1:25" ht="15" x14ac:dyDescent="0.25">
      <c r="A4" s="381" t="s">
        <v>245</v>
      </c>
      <c r="B4" s="66" t="s">
        <v>368</v>
      </c>
      <c r="C4" s="66"/>
      <c r="D4" s="66"/>
      <c r="E4" s="66"/>
    </row>
    <row r="5" spans="1:25" x14ac:dyDescent="0.2">
      <c r="B5" s="1089" t="s">
        <v>369</v>
      </c>
      <c r="C5" s="1089"/>
      <c r="D5" s="22" t="s">
        <v>366</v>
      </c>
      <c r="E5" s="66" t="s">
        <v>371</v>
      </c>
    </row>
    <row r="6" spans="1:25" x14ac:dyDescent="0.2">
      <c r="B6" s="1358" t="s">
        <v>370</v>
      </c>
      <c r="C6" s="1358"/>
      <c r="D6" s="22"/>
      <c r="E6" s="66" t="s">
        <v>372</v>
      </c>
    </row>
    <row r="8" spans="1:25" ht="15" x14ac:dyDescent="0.25">
      <c r="A8" s="381"/>
      <c r="B8" s="358" t="s">
        <v>246</v>
      </c>
      <c r="P8" s="383"/>
      <c r="Q8" s="383"/>
      <c r="R8" s="383"/>
      <c r="S8" s="383"/>
      <c r="T8" s="383"/>
      <c r="U8" s="383"/>
      <c r="V8" s="383"/>
    </row>
    <row r="9" spans="1:25" ht="13.5" customHeight="1" x14ac:dyDescent="0.2">
      <c r="P9" s="383"/>
      <c r="Q9" s="383"/>
      <c r="R9" s="383"/>
      <c r="S9" s="383"/>
      <c r="T9" s="383"/>
      <c r="U9" s="383"/>
      <c r="V9" s="383"/>
    </row>
    <row r="10" spans="1:25" x14ac:dyDescent="0.2">
      <c r="K10" s="350"/>
      <c r="L10" s="350"/>
      <c r="M10" s="350"/>
      <c r="N10" s="350"/>
      <c r="O10" s="350"/>
      <c r="P10" s="350"/>
      <c r="Q10" s="350"/>
      <c r="R10" s="350"/>
      <c r="S10" s="350"/>
      <c r="T10" s="350">
        <v>2</v>
      </c>
      <c r="U10" s="350"/>
      <c r="V10" s="350"/>
      <c r="W10" s="348"/>
      <c r="X10" s="348"/>
    </row>
    <row r="11" spans="1:25" x14ac:dyDescent="0.2">
      <c r="K11" s="350"/>
      <c r="L11" s="350"/>
      <c r="M11" s="350"/>
      <c r="N11" s="350"/>
      <c r="O11" s="350"/>
      <c r="P11" s="350"/>
      <c r="Q11" s="350"/>
      <c r="R11" s="350"/>
      <c r="S11" s="350"/>
      <c r="T11" s="350"/>
      <c r="U11" s="350"/>
      <c r="V11" s="350"/>
      <c r="W11" s="348"/>
      <c r="X11" s="348"/>
      <c r="Y11" s="383"/>
    </row>
    <row r="12" spans="1:25" x14ac:dyDescent="0.2">
      <c r="F12" s="384"/>
      <c r="G12" s="384"/>
      <c r="H12" s="384"/>
      <c r="I12" s="384"/>
      <c r="J12" s="384"/>
      <c r="K12" s="350"/>
      <c r="L12" s="350"/>
      <c r="M12" s="350"/>
      <c r="N12" s="350"/>
      <c r="O12" s="350"/>
      <c r="P12" s="350"/>
      <c r="Q12" s="385" t="s">
        <v>247</v>
      </c>
      <c r="R12" s="385" t="s">
        <v>248</v>
      </c>
      <c r="S12" s="385" t="s">
        <v>249</v>
      </c>
      <c r="T12" s="385" t="s">
        <v>250</v>
      </c>
      <c r="U12" s="350"/>
      <c r="V12" s="385"/>
      <c r="W12" s="348"/>
      <c r="X12" s="348"/>
      <c r="Y12" s="383"/>
    </row>
    <row r="13" spans="1:25" ht="15" x14ac:dyDescent="0.2">
      <c r="K13" s="350"/>
      <c r="L13" s="350"/>
      <c r="M13" s="350"/>
      <c r="N13" s="350"/>
      <c r="O13" s="350"/>
      <c r="P13" s="350"/>
      <c r="Q13" s="386">
        <v>0.95</v>
      </c>
      <c r="R13" s="387">
        <v>5.0200000000000002E-2</v>
      </c>
      <c r="S13" s="387">
        <v>7.3099999999999998E-2</v>
      </c>
      <c r="T13" s="387">
        <v>0.12</v>
      </c>
      <c r="U13" s="350"/>
      <c r="V13" s="388"/>
      <c r="W13" s="348"/>
      <c r="X13" s="348"/>
      <c r="Y13" s="383"/>
    </row>
    <row r="14" spans="1:25" ht="15" x14ac:dyDescent="0.2">
      <c r="K14" s="350"/>
      <c r="L14" s="350"/>
      <c r="M14" s="350"/>
      <c r="N14" s="350"/>
      <c r="O14" s="350"/>
      <c r="P14" s="350"/>
      <c r="Q14" s="386">
        <v>0.9</v>
      </c>
      <c r="R14" s="387">
        <v>3.9300000000000002E-2</v>
      </c>
      <c r="S14" s="387">
        <v>5.7099999999999998E-2</v>
      </c>
      <c r="T14" s="387">
        <v>9.3799999999999994E-2</v>
      </c>
      <c r="U14" s="350"/>
      <c r="V14" s="388"/>
      <c r="W14" s="348"/>
      <c r="X14" s="348"/>
      <c r="Y14" s="383"/>
    </row>
    <row r="15" spans="1:25" ht="15" x14ac:dyDescent="0.2">
      <c r="K15" s="350"/>
      <c r="L15" s="350"/>
      <c r="M15" s="350"/>
      <c r="N15" s="350"/>
      <c r="O15" s="350"/>
      <c r="P15" s="350"/>
      <c r="Q15" s="386">
        <v>0.85</v>
      </c>
      <c r="R15" s="387">
        <v>3.15E-2</v>
      </c>
      <c r="S15" s="387">
        <v>4.58E-2</v>
      </c>
      <c r="T15" s="387">
        <v>7.5300000000000006E-2</v>
      </c>
      <c r="U15" s="350"/>
      <c r="V15" s="388"/>
      <c r="W15" s="348"/>
      <c r="X15" s="348"/>
      <c r="Y15" s="383"/>
    </row>
    <row r="16" spans="1:25" ht="15" x14ac:dyDescent="0.2">
      <c r="M16" s="383"/>
      <c r="N16" s="383"/>
      <c r="O16" s="348"/>
      <c r="P16" s="350"/>
      <c r="Q16" s="386"/>
      <c r="R16" s="387"/>
      <c r="S16" s="387"/>
      <c r="T16" s="387"/>
      <c r="U16" s="350"/>
      <c r="V16" s="388"/>
      <c r="W16" s="348"/>
      <c r="X16" s="348"/>
      <c r="Y16" s="383"/>
    </row>
    <row r="17" spans="1:25" ht="15" x14ac:dyDescent="0.2">
      <c r="M17" s="383"/>
      <c r="N17" s="383"/>
      <c r="O17" s="348"/>
      <c r="P17" s="350"/>
      <c r="Q17" s="386"/>
      <c r="R17" s="387"/>
      <c r="S17" s="387"/>
      <c r="T17" s="387"/>
      <c r="U17" s="350"/>
      <c r="V17" s="350"/>
      <c r="W17" s="348"/>
      <c r="X17" s="348"/>
      <c r="Y17" s="383"/>
    </row>
    <row r="18" spans="1:25" x14ac:dyDescent="0.2">
      <c r="M18" s="383"/>
      <c r="N18" s="383"/>
      <c r="O18" s="348"/>
      <c r="P18" s="350"/>
      <c r="Q18" s="350"/>
      <c r="R18" s="389" t="s">
        <v>247</v>
      </c>
      <c r="S18" s="385" t="s">
        <v>247</v>
      </c>
      <c r="T18" s="385" t="s">
        <v>251</v>
      </c>
      <c r="U18" s="350"/>
      <c r="V18" s="350"/>
      <c r="W18" s="348"/>
      <c r="X18" s="348"/>
      <c r="Y18" s="383"/>
    </row>
    <row r="19" spans="1:25" ht="12.75" customHeight="1" x14ac:dyDescent="0.2">
      <c r="M19" s="383"/>
      <c r="N19" s="383"/>
      <c r="O19" s="348"/>
      <c r="P19" s="350"/>
      <c r="Q19" s="390" t="s">
        <v>252</v>
      </c>
      <c r="R19" s="385" t="s">
        <v>248</v>
      </c>
      <c r="S19" s="391">
        <f>R13</f>
        <v>5.0200000000000002E-2</v>
      </c>
      <c r="T19" s="392">
        <f t="shared" ref="T19:T27" si="0">S19</f>
        <v>5.0200000000000002E-2</v>
      </c>
      <c r="U19" s="350"/>
      <c r="V19" s="350"/>
      <c r="W19" s="348"/>
      <c r="X19" s="348"/>
      <c r="Y19" s="383"/>
    </row>
    <row r="20" spans="1:25" x14ac:dyDescent="0.2">
      <c r="M20" s="383"/>
      <c r="N20" s="383"/>
      <c r="O20" s="348"/>
      <c r="P20" s="350"/>
      <c r="Q20" s="390"/>
      <c r="R20" s="385" t="s">
        <v>249</v>
      </c>
      <c r="S20" s="391">
        <f>S13</f>
        <v>7.3099999999999998E-2</v>
      </c>
      <c r="T20" s="392">
        <f t="shared" si="0"/>
        <v>7.3099999999999998E-2</v>
      </c>
      <c r="U20" s="350"/>
      <c r="V20" s="350"/>
      <c r="W20" s="348"/>
      <c r="X20" s="348"/>
      <c r="Y20" s="383"/>
    </row>
    <row r="21" spans="1:25" x14ac:dyDescent="0.2">
      <c r="M21" s="383"/>
      <c r="N21" s="383"/>
      <c r="O21" s="348"/>
      <c r="P21" s="350"/>
      <c r="Q21" s="390"/>
      <c r="R21" s="385" t="s">
        <v>250</v>
      </c>
      <c r="S21" s="391">
        <f>T13</f>
        <v>0.12</v>
      </c>
      <c r="T21" s="392">
        <f t="shared" si="0"/>
        <v>0.12</v>
      </c>
      <c r="U21" s="350"/>
      <c r="V21" s="350"/>
      <c r="W21" s="348"/>
      <c r="X21" s="348"/>
      <c r="Y21" s="383"/>
    </row>
    <row r="22" spans="1:25" x14ac:dyDescent="0.2">
      <c r="M22" s="383"/>
      <c r="N22" s="383"/>
      <c r="O22" s="348"/>
      <c r="P22" s="350"/>
      <c r="Q22" s="390" t="s">
        <v>253</v>
      </c>
      <c r="R22" s="385" t="s">
        <v>248</v>
      </c>
      <c r="S22" s="391">
        <f>R14</f>
        <v>3.9300000000000002E-2</v>
      </c>
      <c r="T22" s="392">
        <f t="shared" si="0"/>
        <v>3.9300000000000002E-2</v>
      </c>
      <c r="U22" s="350"/>
      <c r="V22" s="350"/>
      <c r="W22" s="348"/>
      <c r="X22" s="348"/>
      <c r="Y22" s="383"/>
    </row>
    <row r="23" spans="1:25" x14ac:dyDescent="0.2">
      <c r="M23" s="383"/>
      <c r="N23" s="383"/>
      <c r="O23" s="348"/>
      <c r="P23" s="350"/>
      <c r="Q23" s="390"/>
      <c r="R23" s="385" t="s">
        <v>249</v>
      </c>
      <c r="S23" s="391">
        <f>S14</f>
        <v>5.7099999999999998E-2</v>
      </c>
      <c r="T23" s="392">
        <f t="shared" si="0"/>
        <v>5.7099999999999998E-2</v>
      </c>
      <c r="U23" s="350"/>
      <c r="V23" s="350"/>
      <c r="W23" s="348"/>
      <c r="X23" s="348"/>
      <c r="Y23" s="383"/>
    </row>
    <row r="24" spans="1:25" ht="12.75" customHeight="1" x14ac:dyDescent="0.2">
      <c r="M24" s="383"/>
      <c r="N24" s="383"/>
      <c r="O24" s="348"/>
      <c r="P24" s="350"/>
      <c r="Q24" s="390"/>
      <c r="R24" s="385" t="s">
        <v>250</v>
      </c>
      <c r="S24" s="391">
        <f>T14</f>
        <v>9.3799999999999994E-2</v>
      </c>
      <c r="T24" s="392">
        <f t="shared" si="0"/>
        <v>9.3799999999999994E-2</v>
      </c>
      <c r="U24" s="350"/>
      <c r="V24" s="350"/>
      <c r="W24" s="348"/>
      <c r="X24" s="348"/>
      <c r="Y24" s="383"/>
    </row>
    <row r="25" spans="1:25" x14ac:dyDescent="0.2">
      <c r="M25" s="383"/>
      <c r="N25" s="383"/>
      <c r="O25" s="348"/>
      <c r="P25" s="350"/>
      <c r="Q25" s="390" t="s">
        <v>254</v>
      </c>
      <c r="R25" s="385" t="s">
        <v>248</v>
      </c>
      <c r="S25" s="391">
        <f>R15</f>
        <v>3.15E-2</v>
      </c>
      <c r="T25" s="392">
        <f t="shared" si="0"/>
        <v>3.15E-2</v>
      </c>
      <c r="U25" s="350"/>
      <c r="V25" s="350"/>
      <c r="W25" s="348"/>
      <c r="X25" s="348"/>
      <c r="Y25" s="383"/>
    </row>
    <row r="26" spans="1:25" x14ac:dyDescent="0.2">
      <c r="M26" s="383"/>
      <c r="N26" s="383"/>
      <c r="O26" s="348"/>
      <c r="P26" s="350"/>
      <c r="Q26" s="390"/>
      <c r="R26" s="385" t="s">
        <v>249</v>
      </c>
      <c r="S26" s="391">
        <f>S15</f>
        <v>4.58E-2</v>
      </c>
      <c r="T26" s="392">
        <f t="shared" si="0"/>
        <v>4.58E-2</v>
      </c>
      <c r="U26" s="350"/>
      <c r="V26" s="350"/>
      <c r="W26" s="348"/>
      <c r="X26" s="348"/>
      <c r="Y26" s="383"/>
    </row>
    <row r="27" spans="1:25" x14ac:dyDescent="0.2">
      <c r="M27" s="383"/>
      <c r="N27" s="383"/>
      <c r="O27" s="348"/>
      <c r="P27" s="350"/>
      <c r="Q27" s="350"/>
      <c r="R27" s="385" t="s">
        <v>250</v>
      </c>
      <c r="S27" s="391">
        <f>T15</f>
        <v>7.5300000000000006E-2</v>
      </c>
      <c r="T27" s="392">
        <f t="shared" si="0"/>
        <v>7.5300000000000006E-2</v>
      </c>
      <c r="U27" s="350"/>
      <c r="V27" s="350"/>
      <c r="W27" s="348"/>
      <c r="X27" s="348"/>
      <c r="Y27" s="383"/>
    </row>
    <row r="28" spans="1:25" x14ac:dyDescent="0.2">
      <c r="M28" s="383"/>
      <c r="N28" s="383"/>
      <c r="O28" s="348"/>
      <c r="P28" s="350"/>
      <c r="Q28" s="390"/>
      <c r="R28" s="350"/>
      <c r="S28" s="391"/>
      <c r="T28" s="391"/>
      <c r="U28" s="392"/>
      <c r="V28" s="350"/>
      <c r="W28" s="348"/>
      <c r="X28" s="348"/>
      <c r="Y28" s="383"/>
    </row>
    <row r="29" spans="1:25" ht="12.75" customHeight="1" x14ac:dyDescent="0.2">
      <c r="M29" s="383"/>
      <c r="N29" s="383"/>
      <c r="O29" s="348"/>
      <c r="P29" s="350"/>
      <c r="Q29" s="390"/>
      <c r="R29" s="350"/>
      <c r="S29" s="391"/>
      <c r="T29" s="391"/>
      <c r="U29" s="392"/>
      <c r="V29" s="350"/>
      <c r="W29" s="348"/>
      <c r="X29" s="348"/>
      <c r="Y29" s="383"/>
    </row>
    <row r="30" spans="1:25" ht="15" x14ac:dyDescent="0.25">
      <c r="A30" s="381" t="s">
        <v>255</v>
      </c>
      <c r="B30" s="358" t="s">
        <v>256</v>
      </c>
      <c r="M30" s="383"/>
      <c r="N30" s="383"/>
      <c r="O30" s="348"/>
      <c r="P30" s="350"/>
      <c r="Q30" s="390"/>
      <c r="R30" s="350"/>
      <c r="S30" s="391"/>
      <c r="T30" s="391"/>
      <c r="U30" s="392"/>
      <c r="V30" s="350"/>
      <c r="W30" s="348"/>
      <c r="X30" s="348"/>
      <c r="Y30" s="383"/>
    </row>
    <row r="31" spans="1:25" ht="17.25" customHeight="1" x14ac:dyDescent="0.2">
      <c r="M31" s="383"/>
      <c r="N31" s="383"/>
      <c r="O31" s="348"/>
      <c r="P31" s="383"/>
      <c r="Q31" s="393"/>
      <c r="R31" s="383"/>
      <c r="S31" s="394"/>
      <c r="T31" s="394"/>
      <c r="U31" s="395"/>
      <c r="V31" s="383"/>
      <c r="W31" s="348"/>
      <c r="X31" s="348"/>
      <c r="Y31" s="383"/>
    </row>
    <row r="32" spans="1:25" ht="17.25" customHeight="1" thickBot="1" x14ac:dyDescent="0.25">
      <c r="M32" s="383"/>
      <c r="N32" s="383"/>
      <c r="O32" s="348"/>
      <c r="P32" s="383"/>
      <c r="Q32" s="393"/>
      <c r="R32" s="383"/>
      <c r="S32" s="394"/>
      <c r="T32" s="394"/>
      <c r="U32" s="395"/>
      <c r="V32" s="383"/>
      <c r="W32" s="348"/>
      <c r="X32" s="348"/>
      <c r="Y32" s="383"/>
    </row>
    <row r="33" spans="1:25" x14ac:dyDescent="0.2">
      <c r="B33" s="396" t="s">
        <v>257</v>
      </c>
      <c r="C33" s="397" t="s">
        <v>270</v>
      </c>
      <c r="D33" s="398" t="s">
        <v>807</v>
      </c>
      <c r="M33" s="383"/>
      <c r="N33" s="383"/>
      <c r="O33" s="348"/>
      <c r="P33" s="383"/>
      <c r="Q33" s="393"/>
      <c r="R33" s="383"/>
      <c r="S33" s="394"/>
      <c r="T33" s="394"/>
      <c r="U33" s="395"/>
      <c r="V33" s="383"/>
      <c r="W33" s="348"/>
      <c r="X33" s="348"/>
      <c r="Y33" s="383"/>
    </row>
    <row r="34" spans="1:25" ht="23.25" customHeight="1" x14ac:dyDescent="0.2">
      <c r="B34" s="399">
        <f>IF(T10=1,R13,IF(T10=2,R14,IF(T10=3,R15,IF(T10=4,R16,"ERROR"))))</f>
        <v>3.9300000000000002E-2</v>
      </c>
      <c r="C34" s="400">
        <f>IF(T10=1,S13,IF(T10=2,S14,IF(T10=3,S15,IF(T10=4,S16,"ERROR"))))</f>
        <v>5.7099999999999998E-2</v>
      </c>
      <c r="D34" s="401">
        <f>IF(T10=1,T13,IF(T10=2,T14,IF(T10=3,T15,IF(T10=4,T16,"ERROR"))))</f>
        <v>9.3799999999999994E-2</v>
      </c>
      <c r="M34" s="383"/>
      <c r="N34" s="383"/>
      <c r="O34" s="348"/>
      <c r="P34" s="383"/>
      <c r="Q34" s="383"/>
      <c r="R34" s="383"/>
      <c r="S34" s="383"/>
      <c r="T34" s="383"/>
      <c r="U34" s="383"/>
      <c r="V34" s="383"/>
      <c r="W34" s="348"/>
      <c r="X34" s="348"/>
      <c r="Y34" s="383"/>
    </row>
    <row r="35" spans="1:25" ht="21.75" customHeight="1" thickBot="1" x14ac:dyDescent="0.25">
      <c r="B35" s="1355" t="s">
        <v>258</v>
      </c>
      <c r="C35" s="1356"/>
      <c r="D35" s="1357"/>
      <c r="M35" s="383"/>
      <c r="N35" s="383"/>
      <c r="O35" s="348"/>
      <c r="P35" s="383"/>
      <c r="Q35" s="383"/>
      <c r="R35" s="383"/>
      <c r="S35" s="383"/>
      <c r="T35" s="383"/>
      <c r="U35" s="383"/>
      <c r="V35" s="383"/>
      <c r="W35" s="348"/>
      <c r="X35" s="348"/>
      <c r="Y35" s="383"/>
    </row>
    <row r="36" spans="1:25" ht="12.75" customHeight="1" x14ac:dyDescent="0.2">
      <c r="M36" s="383"/>
      <c r="N36" s="383"/>
      <c r="O36" s="348"/>
      <c r="P36" s="383"/>
      <c r="Q36" s="383"/>
      <c r="R36" s="383"/>
      <c r="S36" s="383"/>
      <c r="T36" s="383"/>
      <c r="U36" s="383"/>
      <c r="V36" s="383"/>
      <c r="W36" s="348"/>
      <c r="X36" s="348"/>
      <c r="Y36" s="383"/>
    </row>
    <row r="37" spans="1:25" ht="15" x14ac:dyDescent="0.25">
      <c r="A37" s="381" t="s">
        <v>259</v>
      </c>
      <c r="B37" s="358" t="s">
        <v>260</v>
      </c>
      <c r="M37" s="383"/>
      <c r="N37" s="383"/>
      <c r="O37" s="348"/>
      <c r="P37" s="383"/>
      <c r="Q37" s="383"/>
      <c r="R37" s="383"/>
      <c r="S37" s="383"/>
      <c r="T37" s="383"/>
      <c r="U37" s="383"/>
      <c r="V37" s="383"/>
      <c r="W37" s="348"/>
      <c r="X37" s="348"/>
      <c r="Y37" s="383"/>
    </row>
    <row r="38" spans="1:25" ht="15" x14ac:dyDescent="0.25">
      <c r="B38" s="360" t="s">
        <v>261</v>
      </c>
      <c r="C38" s="402">
        <f>C34</f>
        <v>5.7099999999999998E-2</v>
      </c>
      <c r="M38" s="383"/>
      <c r="N38" s="383"/>
      <c r="O38" s="348"/>
      <c r="P38" s="383"/>
      <c r="Q38" s="383"/>
      <c r="R38" s="383"/>
      <c r="S38" s="383"/>
      <c r="T38" s="383"/>
      <c r="U38" s="383"/>
      <c r="V38" s="383"/>
      <c r="W38" s="348"/>
      <c r="X38" s="348"/>
      <c r="Y38" s="383"/>
    </row>
    <row r="39" spans="1:25" x14ac:dyDescent="0.2">
      <c r="M39" s="383"/>
      <c r="N39" s="383"/>
      <c r="O39" s="348"/>
      <c r="P39" s="383"/>
      <c r="Q39" s="383"/>
      <c r="R39" s="383"/>
      <c r="S39" s="383"/>
      <c r="T39" s="383"/>
      <c r="U39" s="383"/>
      <c r="V39" s="383"/>
      <c r="W39" s="348"/>
      <c r="X39" s="348"/>
      <c r="Y39" s="383"/>
    </row>
    <row r="40" spans="1:25" x14ac:dyDescent="0.2">
      <c r="M40" s="383"/>
      <c r="N40" s="383"/>
      <c r="O40" s="348"/>
      <c r="P40" s="348"/>
      <c r="Q40" s="348"/>
      <c r="R40" s="348"/>
      <c r="S40" s="348"/>
      <c r="T40" s="348"/>
      <c r="U40" s="348"/>
      <c r="V40" s="348"/>
      <c r="W40" s="348"/>
      <c r="X40" s="348"/>
      <c r="Y40" s="383"/>
    </row>
    <row r="41" spans="1:25" ht="15" x14ac:dyDescent="0.25">
      <c r="A41" s="381" t="s">
        <v>262</v>
      </c>
      <c r="B41" s="358" t="s">
        <v>263</v>
      </c>
      <c r="M41" s="383"/>
      <c r="N41" s="383"/>
      <c r="O41" s="348"/>
      <c r="P41" s="348"/>
      <c r="Q41" s="348"/>
      <c r="R41" s="348"/>
      <c r="S41" s="348"/>
      <c r="T41" s="348"/>
      <c r="U41" s="348"/>
      <c r="V41" s="348"/>
      <c r="W41" s="348"/>
      <c r="X41" s="348"/>
      <c r="Y41" s="383"/>
    </row>
    <row r="42" spans="1:25" ht="15" x14ac:dyDescent="0.25">
      <c r="B42" s="403" t="s">
        <v>264</v>
      </c>
      <c r="C42" s="404">
        <f>C38</f>
        <v>5.7099999999999998E-2</v>
      </c>
      <c r="M42" s="383"/>
      <c r="N42" s="383"/>
      <c r="O42" s="348"/>
      <c r="P42" s="348"/>
      <c r="Q42" s="348"/>
      <c r="R42" s="348"/>
      <c r="S42" s="348"/>
      <c r="T42" s="348"/>
      <c r="U42" s="348"/>
      <c r="V42" s="348"/>
      <c r="W42" s="348"/>
      <c r="X42" s="348"/>
      <c r="Y42" s="383"/>
    </row>
    <row r="43" spans="1:25" x14ac:dyDescent="0.2">
      <c r="M43" s="383"/>
      <c r="N43" s="383"/>
      <c r="O43" s="348"/>
      <c r="P43" s="348"/>
      <c r="Q43" s="348"/>
      <c r="R43" s="348"/>
      <c r="S43" s="348"/>
      <c r="T43" s="348"/>
      <c r="U43" s="348"/>
      <c r="V43" s="348"/>
      <c r="W43" s="348"/>
      <c r="X43" s="348"/>
      <c r="Y43" s="383"/>
    </row>
    <row r="44" spans="1:25" x14ac:dyDescent="0.2">
      <c r="M44" s="383"/>
      <c r="N44" s="383"/>
      <c r="O44" s="383"/>
      <c r="P44" s="383"/>
      <c r="Q44" s="383"/>
      <c r="R44" s="383"/>
      <c r="S44" s="383"/>
      <c r="T44" s="383"/>
      <c r="U44" s="383"/>
      <c r="V44" s="383"/>
      <c r="W44" s="383"/>
      <c r="X44" s="383"/>
      <c r="Y44" s="383"/>
    </row>
    <row r="45" spans="1:25" x14ac:dyDescent="0.2">
      <c r="M45" s="383"/>
      <c r="N45" s="383"/>
      <c r="O45" s="383"/>
      <c r="P45" s="383"/>
      <c r="Q45" s="383"/>
      <c r="R45" s="383"/>
      <c r="S45" s="383"/>
      <c r="T45" s="383"/>
      <c r="U45" s="383"/>
      <c r="V45" s="383"/>
      <c r="W45" s="383"/>
      <c r="X45" s="383"/>
      <c r="Y45" s="383"/>
    </row>
    <row r="46" spans="1:25" x14ac:dyDescent="0.2">
      <c r="M46" s="383"/>
      <c r="N46" s="383"/>
      <c r="O46" s="383"/>
      <c r="P46" s="383"/>
      <c r="Q46" s="383"/>
      <c r="R46" s="383"/>
      <c r="S46" s="383"/>
      <c r="T46" s="383"/>
      <c r="U46" s="383"/>
      <c r="V46" s="383"/>
      <c r="W46" s="383"/>
      <c r="X46" s="383"/>
      <c r="Y46" s="383"/>
    </row>
    <row r="47" spans="1:25" x14ac:dyDescent="0.2">
      <c r="M47" s="383"/>
      <c r="N47" s="383"/>
      <c r="O47" s="383"/>
      <c r="P47" s="383"/>
      <c r="Q47" s="383"/>
      <c r="R47" s="383"/>
      <c r="S47" s="383"/>
      <c r="T47" s="383"/>
      <c r="U47" s="383"/>
      <c r="V47" s="383"/>
      <c r="W47" s="383"/>
      <c r="X47" s="383"/>
      <c r="Y47" s="383"/>
    </row>
    <row r="48" spans="1:25" x14ac:dyDescent="0.2">
      <c r="M48" s="383"/>
      <c r="N48" s="383"/>
      <c r="O48" s="383"/>
      <c r="P48" s="383"/>
      <c r="Q48" s="383"/>
      <c r="R48" s="383"/>
      <c r="S48" s="383"/>
      <c r="T48" s="383"/>
      <c r="U48" s="383"/>
      <c r="V48" s="383"/>
      <c r="W48" s="383"/>
      <c r="X48" s="383"/>
      <c r="Y48" s="383"/>
    </row>
  </sheetData>
  <sheetProtection algorithmName="SHA-512" hashValue="Uz4pNq1L7GOGqOkjTVFJHmRoEEuDVWwHPv1b39VpO9MhnPq+xQgBcTWu1yaRa8MuLMKW7Tly5cz3Z3EsyxMLWg==" saltValue="kbWUzCC2IdhmZPBAlP9OdA==" spinCount="100000" sheet="1" objects="1" scenarios="1"/>
  <mergeCells count="3">
    <mergeCell ref="B35:D35"/>
    <mergeCell ref="B5:C5"/>
    <mergeCell ref="B6:C6"/>
  </mergeCells>
  <conditionalFormatting sqref="B34">
    <cfRule type="cellIs" dxfId="11" priority="3" stopIfTrue="1" operator="equal">
      <formula>$R$15</formula>
    </cfRule>
    <cfRule type="cellIs" dxfId="10" priority="5" stopIfTrue="1" operator="equal">
      <formula>$R$16</formula>
    </cfRule>
    <cfRule type="cellIs" dxfId="9" priority="6" stopIfTrue="1" operator="equal">
      <formula>$R$14</formula>
    </cfRule>
    <cfRule type="cellIs" dxfId="8" priority="7" stopIfTrue="1" operator="equal">
      <formula>$R$13</formula>
    </cfRule>
  </conditionalFormatting>
  <conditionalFormatting sqref="C34">
    <cfRule type="cellIs" dxfId="7" priority="2" stopIfTrue="1" operator="equal">
      <formula>$S$15</formula>
    </cfRule>
    <cfRule type="cellIs" dxfId="6" priority="8" stopIfTrue="1" operator="equal">
      <formula>$S$16</formula>
    </cfRule>
    <cfRule type="cellIs" dxfId="5" priority="9" stopIfTrue="1" operator="equal">
      <formula>$S$14</formula>
    </cfRule>
    <cfRule type="cellIs" dxfId="4" priority="10" stopIfTrue="1" operator="equal">
      <formula>$S$13</formula>
    </cfRule>
  </conditionalFormatting>
  <conditionalFormatting sqref="D34">
    <cfRule type="cellIs" dxfId="3" priority="1" stopIfTrue="1" operator="equal">
      <formula>$T$15</formula>
    </cfRule>
    <cfRule type="cellIs" dxfId="2" priority="11" stopIfTrue="1" operator="equal">
      <formula>$T$16</formula>
    </cfRule>
    <cfRule type="cellIs" dxfId="1" priority="12" stopIfTrue="1" operator="equal">
      <formula>$T$14</formula>
    </cfRule>
    <cfRule type="cellIs" dxfId="0" priority="13" stopIfTrue="1" operator="equal">
      <formula>$T$13</formula>
    </cfRule>
  </conditionalFormatting>
  <conditionalFormatting sqref="O39:P39">
    <cfRule type="colorScale" priority="4">
      <colorScale>
        <cfvo type="min"/>
        <cfvo type="max"/>
        <color rgb="FFFF7128"/>
        <color rgb="FFFFEF9C"/>
      </colorScale>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Drop Down 1">
              <controlPr defaultSize="0" autoLine="0" autoPict="0">
                <anchor moveWithCells="1">
                  <from>
                    <xdr:col>1</xdr:col>
                    <xdr:colOff>9525</xdr:colOff>
                    <xdr:row>30</xdr:row>
                    <xdr:rowOff>19050</xdr:rowOff>
                  </from>
                  <to>
                    <xdr:col>1</xdr:col>
                    <xdr:colOff>657225</xdr:colOff>
                    <xdr:row>31</xdr:row>
                    <xdr:rowOff>0</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39997558519241921"/>
  </sheetPr>
  <dimension ref="A1:O134"/>
  <sheetViews>
    <sheetView zoomScale="90" zoomScaleNormal="90" workbookViewId="0">
      <selection activeCell="C51" sqref="C51:C56"/>
    </sheetView>
  </sheetViews>
  <sheetFormatPr defaultColWidth="11.42578125" defaultRowHeight="12.75" x14ac:dyDescent="0.2"/>
  <cols>
    <col min="1" max="1" width="11.42578125" style="338" customWidth="1"/>
    <col min="2" max="3" width="20.42578125" style="362" customWidth="1"/>
    <col min="4" max="4" width="30.5703125" style="362" customWidth="1"/>
    <col min="5" max="5" width="30" style="362" customWidth="1"/>
    <col min="6" max="6" width="25.5703125" style="362" customWidth="1"/>
    <col min="7" max="7" width="36.42578125" style="362" customWidth="1"/>
    <col min="8" max="8" width="26" style="362" customWidth="1"/>
    <col min="9" max="9" width="27.42578125" style="362" customWidth="1"/>
    <col min="10" max="10" width="34.85546875" style="362" customWidth="1"/>
    <col min="11" max="11" width="11.42578125" style="338" customWidth="1"/>
    <col min="12" max="12" width="11.42578125" style="362" customWidth="1"/>
    <col min="13" max="14" width="11.42578125" style="338" customWidth="1"/>
    <col min="15" max="15" width="30.28515625" style="338" customWidth="1"/>
    <col min="16" max="16384" width="11.42578125" style="338"/>
  </cols>
  <sheetData>
    <row r="1" spans="1:15" ht="15" x14ac:dyDescent="0.25">
      <c r="B1" s="560" t="s">
        <v>1182</v>
      </c>
    </row>
    <row r="3" spans="1:15" ht="13.5" thickBot="1" x14ac:dyDescent="0.25">
      <c r="A3" s="337" t="s">
        <v>852</v>
      </c>
    </row>
    <row r="4" spans="1:15" ht="15.75" thickBot="1" x14ac:dyDescent="0.25">
      <c r="B4" s="339"/>
      <c r="C4" s="339" t="s">
        <v>245</v>
      </c>
      <c r="D4" s="259" t="s">
        <v>265</v>
      </c>
      <c r="L4" s="1368" t="s">
        <v>80</v>
      </c>
      <c r="M4" s="1369"/>
      <c r="N4" s="1369"/>
      <c r="O4" s="1370"/>
    </row>
    <row r="5" spans="1:15" ht="15" x14ac:dyDescent="0.25">
      <c r="B5" s="339"/>
      <c r="C5" s="339"/>
      <c r="D5" s="259"/>
      <c r="L5" s="363"/>
      <c r="M5" s="321"/>
      <c r="N5" s="321"/>
      <c r="O5" s="322"/>
    </row>
    <row r="6" spans="1:15" ht="15" x14ac:dyDescent="0.25">
      <c r="L6" s="364"/>
      <c r="M6" s="119"/>
      <c r="N6" s="325" t="s">
        <v>78</v>
      </c>
      <c r="O6" s="326"/>
    </row>
    <row r="7" spans="1:15" ht="15" x14ac:dyDescent="0.25">
      <c r="B7" s="339"/>
      <c r="C7" s="339" t="s">
        <v>266</v>
      </c>
      <c r="D7" s="259" t="s">
        <v>395</v>
      </c>
      <c r="L7" s="364"/>
      <c r="M7" s="278"/>
      <c r="N7" s="325" t="s">
        <v>89</v>
      </c>
      <c r="O7" s="326"/>
    </row>
    <row r="8" spans="1:15" ht="15" x14ac:dyDescent="0.25">
      <c r="L8" s="364"/>
      <c r="M8" s="279"/>
      <c r="N8" s="325" t="s">
        <v>79</v>
      </c>
      <c r="O8" s="326"/>
    </row>
    <row r="9" spans="1:15" ht="29.25" customHeight="1" thickBot="1" x14ac:dyDescent="0.3">
      <c r="B9" s="365" t="s">
        <v>247</v>
      </c>
      <c r="C9" s="365" t="s">
        <v>267</v>
      </c>
      <c r="D9" s="365" t="s">
        <v>793</v>
      </c>
      <c r="E9" s="366" t="s">
        <v>268</v>
      </c>
      <c r="F9" s="366" t="s">
        <v>795</v>
      </c>
      <c r="G9" s="366" t="s">
        <v>808</v>
      </c>
      <c r="H9" s="366" t="s">
        <v>270</v>
      </c>
      <c r="I9" s="366" t="s">
        <v>807</v>
      </c>
      <c r="J9" s="366" t="s">
        <v>271</v>
      </c>
      <c r="L9" s="367"/>
      <c r="M9" s="328"/>
      <c r="N9" s="328"/>
      <c r="O9" s="329"/>
    </row>
    <row r="10" spans="1:15" ht="107.25" customHeight="1" x14ac:dyDescent="0.2">
      <c r="B10" s="368" t="s">
        <v>758</v>
      </c>
      <c r="C10" s="1360" t="s">
        <v>272</v>
      </c>
      <c r="D10" s="368" t="s">
        <v>273</v>
      </c>
      <c r="E10" s="368" t="s">
        <v>274</v>
      </c>
      <c r="F10" s="368" t="s">
        <v>275</v>
      </c>
      <c r="G10" s="368" t="s">
        <v>276</v>
      </c>
      <c r="H10" s="368" t="s">
        <v>277</v>
      </c>
      <c r="I10" s="368" t="s">
        <v>278</v>
      </c>
      <c r="J10" s="119"/>
      <c r="K10" s="369">
        <v>1</v>
      </c>
      <c r="L10" s="370">
        <v>1</v>
      </c>
    </row>
    <row r="11" spans="1:15" ht="106.5" customHeight="1" x14ac:dyDescent="0.2">
      <c r="B11" s="368" t="s">
        <v>759</v>
      </c>
      <c r="C11" s="1361"/>
      <c r="D11" s="368" t="s">
        <v>279</v>
      </c>
      <c r="E11" s="368" t="s">
        <v>280</v>
      </c>
      <c r="F11" s="368" t="s">
        <v>275</v>
      </c>
      <c r="G11" s="368" t="s">
        <v>281</v>
      </c>
      <c r="H11" s="368" t="s">
        <v>282</v>
      </c>
      <c r="I11" s="368" t="s">
        <v>283</v>
      </c>
      <c r="J11" s="119"/>
      <c r="K11" s="369">
        <v>2</v>
      </c>
      <c r="L11" s="370">
        <v>2</v>
      </c>
    </row>
    <row r="12" spans="1:15" ht="196.5" customHeight="1" x14ac:dyDescent="0.2">
      <c r="B12" s="368" t="s">
        <v>760</v>
      </c>
      <c r="C12" s="368" t="s">
        <v>748</v>
      </c>
      <c r="D12" s="368" t="s">
        <v>776</v>
      </c>
      <c r="E12" s="368" t="s">
        <v>777</v>
      </c>
      <c r="F12" s="368" t="s">
        <v>284</v>
      </c>
      <c r="G12" s="368" t="s">
        <v>285</v>
      </c>
      <c r="H12" s="368" t="s">
        <v>286</v>
      </c>
      <c r="I12" s="368" t="s">
        <v>287</v>
      </c>
      <c r="J12" s="119"/>
      <c r="K12" s="369">
        <v>3</v>
      </c>
      <c r="L12" s="370">
        <v>3</v>
      </c>
    </row>
    <row r="13" spans="1:15" ht="72" x14ac:dyDescent="0.2">
      <c r="B13" s="368" t="s">
        <v>794</v>
      </c>
      <c r="C13" s="1363" t="s">
        <v>288</v>
      </c>
      <c r="D13" s="368" t="s">
        <v>778</v>
      </c>
      <c r="E13" s="368" t="s">
        <v>289</v>
      </c>
      <c r="F13" s="368" t="s">
        <v>290</v>
      </c>
      <c r="G13" s="368" t="s">
        <v>779</v>
      </c>
      <c r="H13" s="368" t="s">
        <v>780</v>
      </c>
      <c r="I13" s="368" t="s">
        <v>291</v>
      </c>
      <c r="J13" s="119"/>
      <c r="K13" s="369">
        <v>4</v>
      </c>
      <c r="L13" s="370">
        <v>4</v>
      </c>
    </row>
    <row r="14" spans="1:15" ht="123.75" customHeight="1" x14ac:dyDescent="0.2">
      <c r="B14" s="368" t="s">
        <v>762</v>
      </c>
      <c r="C14" s="1364"/>
      <c r="D14" s="368" t="s">
        <v>292</v>
      </c>
      <c r="E14" s="368" t="s">
        <v>293</v>
      </c>
      <c r="F14" s="368" t="s">
        <v>294</v>
      </c>
      <c r="G14" s="368" t="s">
        <v>295</v>
      </c>
      <c r="H14" s="368" t="s">
        <v>296</v>
      </c>
      <c r="I14" s="368" t="s">
        <v>297</v>
      </c>
      <c r="J14" s="371"/>
      <c r="K14" s="369">
        <v>5</v>
      </c>
      <c r="L14" s="370">
        <v>5</v>
      </c>
    </row>
    <row r="15" spans="1:15" ht="163.5" customHeight="1" x14ac:dyDescent="0.2">
      <c r="B15" s="1363" t="s">
        <v>763</v>
      </c>
      <c r="C15" s="1360" t="s">
        <v>749</v>
      </c>
      <c r="D15" s="1360" t="s">
        <v>781</v>
      </c>
      <c r="E15" s="1363" t="s">
        <v>782</v>
      </c>
      <c r="F15" s="1360" t="s">
        <v>298</v>
      </c>
      <c r="G15" s="1360" t="s">
        <v>783</v>
      </c>
      <c r="H15" s="1360" t="s">
        <v>784</v>
      </c>
      <c r="I15" s="1360" t="s">
        <v>785</v>
      </c>
      <c r="J15" s="1372"/>
      <c r="K15" s="1375">
        <v>6</v>
      </c>
      <c r="L15" s="1371">
        <v>6</v>
      </c>
    </row>
    <row r="16" spans="1:15" ht="39.75" customHeight="1" x14ac:dyDescent="0.2">
      <c r="B16" s="1363"/>
      <c r="C16" s="1362"/>
      <c r="D16" s="1362"/>
      <c r="E16" s="1364"/>
      <c r="F16" s="1362"/>
      <c r="G16" s="1362"/>
      <c r="H16" s="1362"/>
      <c r="I16" s="1362"/>
      <c r="J16" s="1373"/>
      <c r="K16" s="1375"/>
      <c r="L16" s="1371"/>
    </row>
    <row r="17" spans="2:12" x14ac:dyDescent="0.2">
      <c r="B17" s="1363"/>
      <c r="C17" s="1362"/>
      <c r="D17" s="1362"/>
      <c r="E17" s="1364"/>
      <c r="F17" s="1362"/>
      <c r="G17" s="1362"/>
      <c r="H17" s="1362"/>
      <c r="I17" s="1362"/>
      <c r="J17" s="1373"/>
      <c r="K17" s="1375"/>
      <c r="L17" s="1371"/>
    </row>
    <row r="18" spans="2:12" ht="34.5" customHeight="1" x14ac:dyDescent="0.2">
      <c r="B18" s="1363"/>
      <c r="C18" s="1362"/>
      <c r="D18" s="1362"/>
      <c r="E18" s="1364"/>
      <c r="F18" s="1362"/>
      <c r="G18" s="1362"/>
      <c r="H18" s="1362"/>
      <c r="I18" s="1362"/>
      <c r="J18" s="1373"/>
      <c r="K18" s="1375"/>
      <c r="L18" s="1371"/>
    </row>
    <row r="19" spans="2:12" ht="22.5" customHeight="1" x14ac:dyDescent="0.2">
      <c r="B19" s="1363"/>
      <c r="C19" s="1362"/>
      <c r="D19" s="1362"/>
      <c r="E19" s="1364"/>
      <c r="F19" s="1362"/>
      <c r="G19" s="1362"/>
      <c r="H19" s="1362"/>
      <c r="I19" s="1362"/>
      <c r="J19" s="1373"/>
      <c r="K19" s="1375"/>
      <c r="L19" s="1371"/>
    </row>
    <row r="20" spans="2:12" ht="72" customHeight="1" x14ac:dyDescent="0.2">
      <c r="B20" s="1363"/>
      <c r="C20" s="1361"/>
      <c r="D20" s="1361"/>
      <c r="E20" s="1364"/>
      <c r="F20" s="1362"/>
      <c r="G20" s="1361"/>
      <c r="H20" s="1361"/>
      <c r="I20" s="1361"/>
      <c r="J20" s="1374"/>
      <c r="K20" s="1375"/>
      <c r="L20" s="1371"/>
    </row>
    <row r="21" spans="2:12" ht="96" customHeight="1" x14ac:dyDescent="0.2">
      <c r="B21" s="368" t="s">
        <v>764</v>
      </c>
      <c r="C21" s="368" t="s">
        <v>347</v>
      </c>
      <c r="D21" s="368" t="s">
        <v>786</v>
      </c>
      <c r="E21" s="372" t="s">
        <v>787</v>
      </c>
      <c r="F21" s="1362"/>
      <c r="G21" s="368" t="s">
        <v>299</v>
      </c>
      <c r="H21" s="368" t="s">
        <v>300</v>
      </c>
      <c r="I21" s="368" t="s">
        <v>301</v>
      </c>
      <c r="J21" s="373"/>
      <c r="K21" s="369">
        <v>8</v>
      </c>
      <c r="L21" s="370">
        <v>7</v>
      </c>
    </row>
    <row r="22" spans="2:12" ht="135" customHeight="1" x14ac:dyDescent="0.2">
      <c r="B22" s="368" t="s">
        <v>765</v>
      </c>
      <c r="C22" s="368" t="s">
        <v>788</v>
      </c>
      <c r="D22" s="368" t="s">
        <v>745</v>
      </c>
      <c r="E22" s="368" t="s">
        <v>302</v>
      </c>
      <c r="F22" s="1361"/>
      <c r="G22" s="368" t="s">
        <v>299</v>
      </c>
      <c r="H22" s="368" t="s">
        <v>303</v>
      </c>
      <c r="I22" s="368" t="s">
        <v>304</v>
      </c>
      <c r="J22" s="373"/>
      <c r="K22" s="369">
        <v>9</v>
      </c>
      <c r="L22" s="370">
        <v>8</v>
      </c>
    </row>
    <row r="23" spans="2:12" ht="163.5" customHeight="1" x14ac:dyDescent="0.2">
      <c r="B23" s="368" t="s">
        <v>766</v>
      </c>
      <c r="C23" s="1363" t="s">
        <v>305</v>
      </c>
      <c r="D23" s="368" t="s">
        <v>306</v>
      </c>
      <c r="E23" s="368" t="s">
        <v>307</v>
      </c>
      <c r="F23" s="368" t="s">
        <v>796</v>
      </c>
      <c r="G23" s="1360" t="s">
        <v>789</v>
      </c>
      <c r="H23" s="1360" t="s">
        <v>308</v>
      </c>
      <c r="I23" s="1360" t="s">
        <v>309</v>
      </c>
      <c r="J23" s="373"/>
      <c r="K23" s="369">
        <v>10</v>
      </c>
      <c r="L23" s="370">
        <v>9</v>
      </c>
    </row>
    <row r="24" spans="2:12" ht="336.75" customHeight="1" x14ac:dyDescent="0.2">
      <c r="B24" s="368" t="s">
        <v>767</v>
      </c>
      <c r="C24" s="1363"/>
      <c r="D24" s="368" t="s">
        <v>310</v>
      </c>
      <c r="E24" s="374" t="s">
        <v>311</v>
      </c>
      <c r="F24" s="372" t="s">
        <v>312</v>
      </c>
      <c r="G24" s="1361"/>
      <c r="H24" s="1361"/>
      <c r="I24" s="1361"/>
      <c r="J24" s="373"/>
      <c r="K24" s="369">
        <v>11</v>
      </c>
      <c r="L24" s="370">
        <v>10</v>
      </c>
    </row>
    <row r="25" spans="2:12" ht="159" customHeight="1" x14ac:dyDescent="0.2">
      <c r="B25" s="368" t="s">
        <v>768</v>
      </c>
      <c r="C25" s="1363"/>
      <c r="D25" s="368" t="s">
        <v>790</v>
      </c>
      <c r="E25" s="368" t="s">
        <v>313</v>
      </c>
      <c r="F25" s="368" t="s">
        <v>791</v>
      </c>
      <c r="G25" s="368" t="s">
        <v>314</v>
      </c>
      <c r="H25" s="368" t="s">
        <v>315</v>
      </c>
      <c r="I25" s="368" t="s">
        <v>316</v>
      </c>
      <c r="J25" s="371"/>
      <c r="K25" s="369">
        <v>12</v>
      </c>
      <c r="L25" s="370">
        <v>11</v>
      </c>
    </row>
    <row r="26" spans="2:12" ht="150" customHeight="1" x14ac:dyDescent="0.2">
      <c r="B26" s="368" t="s">
        <v>769</v>
      </c>
      <c r="C26" s="1363" t="s">
        <v>317</v>
      </c>
      <c r="D26" s="368" t="s">
        <v>318</v>
      </c>
      <c r="E26" s="368" t="s">
        <v>319</v>
      </c>
      <c r="F26" s="375" t="s">
        <v>796</v>
      </c>
      <c r="G26" s="1365" t="s">
        <v>320</v>
      </c>
      <c r="H26" s="1366"/>
      <c r="I26" s="1367"/>
      <c r="J26" s="371"/>
      <c r="K26" s="369">
        <v>13</v>
      </c>
      <c r="L26" s="370">
        <v>12</v>
      </c>
    </row>
    <row r="27" spans="2:12" ht="129" customHeight="1" x14ac:dyDescent="0.2">
      <c r="B27" s="368" t="s">
        <v>770</v>
      </c>
      <c r="C27" s="1363"/>
      <c r="D27" s="368" t="s">
        <v>321</v>
      </c>
      <c r="E27" s="368" t="s">
        <v>322</v>
      </c>
      <c r="F27" s="368" t="s">
        <v>294</v>
      </c>
      <c r="G27" s="368" t="s">
        <v>323</v>
      </c>
      <c r="H27" s="368" t="s">
        <v>324</v>
      </c>
      <c r="I27" s="368" t="s">
        <v>325</v>
      </c>
      <c r="J27" s="371"/>
      <c r="K27" s="369">
        <v>15</v>
      </c>
      <c r="L27" s="370">
        <v>13</v>
      </c>
    </row>
    <row r="28" spans="2:12" ht="105.75" customHeight="1" x14ac:dyDescent="0.2">
      <c r="B28" s="368" t="s">
        <v>771</v>
      </c>
      <c r="C28" s="1363"/>
      <c r="D28" s="368" t="s">
        <v>326</v>
      </c>
      <c r="E28" s="368" t="s">
        <v>327</v>
      </c>
      <c r="F28" s="368" t="s">
        <v>796</v>
      </c>
      <c r="G28" s="368" t="s">
        <v>328</v>
      </c>
      <c r="H28" s="368" t="s">
        <v>329</v>
      </c>
      <c r="I28" s="368" t="s">
        <v>330</v>
      </c>
      <c r="J28" s="371"/>
      <c r="K28" s="369">
        <v>16</v>
      </c>
      <c r="L28" s="370">
        <v>14</v>
      </c>
    </row>
    <row r="29" spans="2:12" ht="108" x14ac:dyDescent="0.2">
      <c r="B29" s="368" t="s">
        <v>772</v>
      </c>
      <c r="C29" s="1363" t="s">
        <v>331</v>
      </c>
      <c r="D29" s="368" t="s">
        <v>792</v>
      </c>
      <c r="E29" s="368" t="s">
        <v>332</v>
      </c>
      <c r="F29" s="368" t="s">
        <v>333</v>
      </c>
      <c r="G29" s="368" t="s">
        <v>334</v>
      </c>
      <c r="H29" s="368" t="s">
        <v>335</v>
      </c>
      <c r="I29" s="368" t="s">
        <v>336</v>
      </c>
      <c r="J29" s="371"/>
      <c r="K29" s="369">
        <v>18</v>
      </c>
      <c r="L29" s="370">
        <v>15</v>
      </c>
    </row>
    <row r="30" spans="2:12" ht="69.75" customHeight="1" x14ac:dyDescent="0.2">
      <c r="B30" s="368" t="s">
        <v>773</v>
      </c>
      <c r="C30" s="1364"/>
      <c r="D30" s="368" t="s">
        <v>337</v>
      </c>
      <c r="E30" s="368" t="s">
        <v>338</v>
      </c>
      <c r="F30" s="368" t="s">
        <v>796</v>
      </c>
      <c r="G30" s="1365" t="s">
        <v>339</v>
      </c>
      <c r="H30" s="1366"/>
      <c r="I30" s="1367"/>
      <c r="J30" s="371"/>
      <c r="K30" s="369">
        <v>19</v>
      </c>
      <c r="L30" s="370">
        <v>16</v>
      </c>
    </row>
    <row r="31" spans="2:12" ht="108" customHeight="1" x14ac:dyDescent="0.2">
      <c r="B31" s="368" t="s">
        <v>774</v>
      </c>
      <c r="C31" s="368" t="s">
        <v>341</v>
      </c>
      <c r="D31" s="368" t="s">
        <v>342</v>
      </c>
      <c r="E31" s="368" t="s">
        <v>343</v>
      </c>
      <c r="F31" s="368" t="s">
        <v>796</v>
      </c>
      <c r="G31" s="368" t="s">
        <v>344</v>
      </c>
      <c r="H31" s="368" t="s">
        <v>345</v>
      </c>
      <c r="I31" s="368" t="s">
        <v>340</v>
      </c>
      <c r="J31" s="371"/>
      <c r="K31" s="369">
        <v>24</v>
      </c>
      <c r="L31" s="370">
        <v>17</v>
      </c>
    </row>
    <row r="32" spans="2:12" x14ac:dyDescent="0.2">
      <c r="B32" s="376"/>
      <c r="C32" s="377"/>
      <c r="D32" s="377"/>
      <c r="E32" s="376"/>
      <c r="F32" s="376"/>
      <c r="G32" s="376"/>
      <c r="H32" s="376"/>
      <c r="I32" s="376"/>
    </row>
    <row r="33" spans="2:9" x14ac:dyDescent="0.2">
      <c r="B33" s="376"/>
      <c r="C33" s="1359">
        <v>1</v>
      </c>
      <c r="D33" s="378" t="s">
        <v>758</v>
      </c>
      <c r="E33" s="362">
        <f>IF('Ref_A.XV. RPS (DetalhadoI)'!D38=1,'A.XV. RPS (Base Num)'!B3,IF('Ref_A.XV. RPS (DetalhadoI)'!D38=2,'A.XV. RPS (Base Num)'!D3,IF('Ref_A.XV. RPS (DetalhadoI)'!D38=3,'A.XV. RPS (Base Num)'!F3,'A.XV. RPS (Base Num)'!H3)))</f>
        <v>0</v>
      </c>
      <c r="F33" s="376"/>
      <c r="G33" s="376"/>
      <c r="H33" s="376"/>
      <c r="I33" s="376"/>
    </row>
    <row r="34" spans="2:9" x14ac:dyDescent="0.2">
      <c r="C34" s="1359"/>
      <c r="D34" s="378" t="s">
        <v>346</v>
      </c>
    </row>
    <row r="35" spans="2:9" x14ac:dyDescent="0.2">
      <c r="C35" s="1359"/>
      <c r="D35" s="378" t="s">
        <v>806</v>
      </c>
    </row>
    <row r="36" spans="2:9" x14ac:dyDescent="0.2">
      <c r="C36" s="1359"/>
      <c r="D36" s="378" t="s">
        <v>812</v>
      </c>
    </row>
    <row r="37" spans="2:9" x14ac:dyDescent="0.2">
      <c r="C37" s="1359"/>
      <c r="D37" s="378" t="s">
        <v>811</v>
      </c>
    </row>
    <row r="38" spans="2:9" x14ac:dyDescent="0.2">
      <c r="C38" s="1359"/>
      <c r="D38" s="379">
        <v>2</v>
      </c>
    </row>
    <row r="39" spans="2:9" x14ac:dyDescent="0.2">
      <c r="C39" s="1359">
        <v>2</v>
      </c>
      <c r="D39" s="378" t="s">
        <v>759</v>
      </c>
    </row>
    <row r="40" spans="2:9" x14ac:dyDescent="0.2">
      <c r="C40" s="1359"/>
      <c r="D40" s="378" t="s">
        <v>346</v>
      </c>
    </row>
    <row r="41" spans="2:9" x14ac:dyDescent="0.2">
      <c r="C41" s="1359"/>
      <c r="D41" s="378" t="s">
        <v>806</v>
      </c>
    </row>
    <row r="42" spans="2:9" x14ac:dyDescent="0.2">
      <c r="C42" s="1359"/>
      <c r="D42" s="378" t="s">
        <v>812</v>
      </c>
    </row>
    <row r="43" spans="2:9" x14ac:dyDescent="0.2">
      <c r="C43" s="1359"/>
      <c r="D43" s="378" t="s">
        <v>811</v>
      </c>
    </row>
    <row r="44" spans="2:9" x14ac:dyDescent="0.2">
      <c r="C44" s="1359"/>
      <c r="D44" s="379">
        <v>2</v>
      </c>
    </row>
    <row r="45" spans="2:9" ht="24" x14ac:dyDescent="0.2">
      <c r="C45" s="1359">
        <v>3</v>
      </c>
      <c r="D45" s="378" t="s">
        <v>760</v>
      </c>
    </row>
    <row r="46" spans="2:9" x14ac:dyDescent="0.2">
      <c r="C46" s="1359"/>
      <c r="D46" s="378" t="s">
        <v>346</v>
      </c>
    </row>
    <row r="47" spans="2:9" x14ac:dyDescent="0.2">
      <c r="C47" s="1359"/>
      <c r="D47" s="378" t="s">
        <v>806</v>
      </c>
    </row>
    <row r="48" spans="2:9" x14ac:dyDescent="0.2">
      <c r="C48" s="1359"/>
      <c r="D48" s="378" t="s">
        <v>812</v>
      </c>
    </row>
    <row r="49" spans="3:4" x14ac:dyDescent="0.2">
      <c r="C49" s="1359"/>
      <c r="D49" s="378" t="s">
        <v>811</v>
      </c>
    </row>
    <row r="50" spans="3:4" x14ac:dyDescent="0.2">
      <c r="C50" s="1359"/>
      <c r="D50" s="379">
        <v>1</v>
      </c>
    </row>
    <row r="51" spans="3:4" x14ac:dyDescent="0.2">
      <c r="C51" s="1359">
        <v>4</v>
      </c>
      <c r="D51" s="378" t="s">
        <v>794</v>
      </c>
    </row>
    <row r="52" spans="3:4" x14ac:dyDescent="0.2">
      <c r="C52" s="1359"/>
      <c r="D52" s="378" t="s">
        <v>346</v>
      </c>
    </row>
    <row r="53" spans="3:4" x14ac:dyDescent="0.2">
      <c r="C53" s="1359"/>
      <c r="D53" s="378" t="s">
        <v>806</v>
      </c>
    </row>
    <row r="54" spans="3:4" x14ac:dyDescent="0.2">
      <c r="C54" s="1359"/>
      <c r="D54" s="378" t="s">
        <v>812</v>
      </c>
    </row>
    <row r="55" spans="3:4" x14ac:dyDescent="0.2">
      <c r="C55" s="1359"/>
      <c r="D55" s="378" t="s">
        <v>811</v>
      </c>
    </row>
    <row r="56" spans="3:4" x14ac:dyDescent="0.2">
      <c r="C56" s="1359"/>
      <c r="D56" s="379">
        <v>1</v>
      </c>
    </row>
    <row r="57" spans="3:4" ht="24" x14ac:dyDescent="0.2">
      <c r="C57" s="1359">
        <v>5</v>
      </c>
      <c r="D57" s="378" t="s">
        <v>762</v>
      </c>
    </row>
    <row r="58" spans="3:4" x14ac:dyDescent="0.2">
      <c r="C58" s="1359"/>
      <c r="D58" s="378" t="s">
        <v>346</v>
      </c>
    </row>
    <row r="59" spans="3:4" x14ac:dyDescent="0.2">
      <c r="C59" s="1359"/>
      <c r="D59" s="378" t="s">
        <v>806</v>
      </c>
    </row>
    <row r="60" spans="3:4" x14ac:dyDescent="0.2">
      <c r="C60" s="1359"/>
      <c r="D60" s="378" t="s">
        <v>812</v>
      </c>
    </row>
    <row r="61" spans="3:4" x14ac:dyDescent="0.2">
      <c r="C61" s="1359"/>
      <c r="D61" s="378" t="s">
        <v>811</v>
      </c>
    </row>
    <row r="62" spans="3:4" x14ac:dyDescent="0.2">
      <c r="C62" s="1359"/>
      <c r="D62" s="379">
        <v>1</v>
      </c>
    </row>
    <row r="63" spans="3:4" x14ac:dyDescent="0.2">
      <c r="C63" s="1359">
        <v>6</v>
      </c>
      <c r="D63" s="380" t="s">
        <v>763</v>
      </c>
    </row>
    <row r="64" spans="3:4" x14ac:dyDescent="0.2">
      <c r="C64" s="1359"/>
      <c r="D64" s="378" t="s">
        <v>346</v>
      </c>
    </row>
    <row r="65" spans="3:4" x14ac:dyDescent="0.2">
      <c r="C65" s="1359"/>
      <c r="D65" s="378" t="s">
        <v>806</v>
      </c>
    </row>
    <row r="66" spans="3:4" x14ac:dyDescent="0.2">
      <c r="C66" s="1359"/>
      <c r="D66" s="378" t="s">
        <v>812</v>
      </c>
    </row>
    <row r="67" spans="3:4" x14ac:dyDescent="0.2">
      <c r="C67" s="1359"/>
      <c r="D67" s="378" t="s">
        <v>811</v>
      </c>
    </row>
    <row r="68" spans="3:4" x14ac:dyDescent="0.2">
      <c r="C68" s="1359"/>
      <c r="D68" s="379">
        <v>1</v>
      </c>
    </row>
    <row r="69" spans="3:4" x14ac:dyDescent="0.2">
      <c r="C69" s="1359">
        <v>7</v>
      </c>
      <c r="D69" s="378" t="s">
        <v>764</v>
      </c>
    </row>
    <row r="70" spans="3:4" x14ac:dyDescent="0.2">
      <c r="C70" s="1359"/>
      <c r="D70" s="378" t="s">
        <v>346</v>
      </c>
    </row>
    <row r="71" spans="3:4" x14ac:dyDescent="0.2">
      <c r="C71" s="1359"/>
      <c r="D71" s="378" t="s">
        <v>806</v>
      </c>
    </row>
    <row r="72" spans="3:4" x14ac:dyDescent="0.2">
      <c r="C72" s="1359"/>
      <c r="D72" s="378" t="s">
        <v>812</v>
      </c>
    </row>
    <row r="73" spans="3:4" x14ac:dyDescent="0.2">
      <c r="C73" s="1359"/>
      <c r="D73" s="378" t="s">
        <v>811</v>
      </c>
    </row>
    <row r="74" spans="3:4" x14ac:dyDescent="0.2">
      <c r="C74" s="1359"/>
      <c r="D74" s="379">
        <v>1</v>
      </c>
    </row>
    <row r="75" spans="3:4" x14ac:dyDescent="0.2">
      <c r="C75" s="1359">
        <v>8</v>
      </c>
      <c r="D75" s="378" t="s">
        <v>765</v>
      </c>
    </row>
    <row r="76" spans="3:4" x14ac:dyDescent="0.2">
      <c r="C76" s="1359"/>
      <c r="D76" s="378" t="s">
        <v>346</v>
      </c>
    </row>
    <row r="77" spans="3:4" x14ac:dyDescent="0.2">
      <c r="C77" s="1359"/>
      <c r="D77" s="378" t="s">
        <v>806</v>
      </c>
    </row>
    <row r="78" spans="3:4" x14ac:dyDescent="0.2">
      <c r="C78" s="1359"/>
      <c r="D78" s="378" t="s">
        <v>812</v>
      </c>
    </row>
    <row r="79" spans="3:4" x14ac:dyDescent="0.2">
      <c r="C79" s="1359"/>
      <c r="D79" s="378" t="s">
        <v>811</v>
      </c>
    </row>
    <row r="80" spans="3:4" x14ac:dyDescent="0.2">
      <c r="C80" s="1359"/>
      <c r="D80" s="379">
        <v>1</v>
      </c>
    </row>
    <row r="81" spans="3:4" x14ac:dyDescent="0.2">
      <c r="C81" s="1359">
        <v>9</v>
      </c>
      <c r="D81" s="378" t="s">
        <v>766</v>
      </c>
    </row>
    <row r="82" spans="3:4" x14ac:dyDescent="0.2">
      <c r="C82" s="1359"/>
      <c r="D82" s="378" t="s">
        <v>346</v>
      </c>
    </row>
    <row r="83" spans="3:4" x14ac:dyDescent="0.2">
      <c r="C83" s="1359"/>
      <c r="D83" s="378" t="s">
        <v>806</v>
      </c>
    </row>
    <row r="84" spans="3:4" x14ac:dyDescent="0.2">
      <c r="C84" s="1359"/>
      <c r="D84" s="378" t="s">
        <v>812</v>
      </c>
    </row>
    <row r="85" spans="3:4" x14ac:dyDescent="0.2">
      <c r="C85" s="1359"/>
      <c r="D85" s="378" t="s">
        <v>811</v>
      </c>
    </row>
    <row r="86" spans="3:4" x14ac:dyDescent="0.2">
      <c r="C86" s="1359"/>
      <c r="D86" s="379">
        <v>3</v>
      </c>
    </row>
    <row r="87" spans="3:4" x14ac:dyDescent="0.2">
      <c r="C87" s="1359">
        <v>10</v>
      </c>
      <c r="D87" s="378" t="s">
        <v>767</v>
      </c>
    </row>
    <row r="88" spans="3:4" x14ac:dyDescent="0.2">
      <c r="C88" s="1359"/>
      <c r="D88" s="378" t="s">
        <v>346</v>
      </c>
    </row>
    <row r="89" spans="3:4" x14ac:dyDescent="0.2">
      <c r="C89" s="1359"/>
      <c r="D89" s="378" t="s">
        <v>806</v>
      </c>
    </row>
    <row r="90" spans="3:4" x14ac:dyDescent="0.2">
      <c r="C90" s="1359"/>
      <c r="D90" s="378" t="s">
        <v>812</v>
      </c>
    </row>
    <row r="91" spans="3:4" x14ac:dyDescent="0.2">
      <c r="C91" s="1359"/>
      <c r="D91" s="378" t="s">
        <v>811</v>
      </c>
    </row>
    <row r="92" spans="3:4" x14ac:dyDescent="0.2">
      <c r="C92" s="1359"/>
      <c r="D92" s="379">
        <v>3</v>
      </c>
    </row>
    <row r="93" spans="3:4" ht="22.5" customHeight="1" x14ac:dyDescent="0.2">
      <c r="C93" s="1359">
        <v>11</v>
      </c>
      <c r="D93" s="378" t="s">
        <v>768</v>
      </c>
    </row>
    <row r="94" spans="3:4" x14ac:dyDescent="0.2">
      <c r="C94" s="1359"/>
      <c r="D94" s="378" t="s">
        <v>346</v>
      </c>
    </row>
    <row r="95" spans="3:4" x14ac:dyDescent="0.2">
      <c r="C95" s="1359"/>
      <c r="D95" s="378" t="s">
        <v>806</v>
      </c>
    </row>
    <row r="96" spans="3:4" x14ac:dyDescent="0.2">
      <c r="C96" s="1359"/>
      <c r="D96" s="378" t="s">
        <v>812</v>
      </c>
    </row>
    <row r="97" spans="3:4" x14ac:dyDescent="0.2">
      <c r="C97" s="1359"/>
      <c r="D97" s="378" t="s">
        <v>811</v>
      </c>
    </row>
    <row r="98" spans="3:4" x14ac:dyDescent="0.2">
      <c r="C98" s="1359"/>
      <c r="D98" s="379">
        <v>1</v>
      </c>
    </row>
    <row r="99" spans="3:4" x14ac:dyDescent="0.2">
      <c r="C99" s="1359">
        <v>12</v>
      </c>
      <c r="D99" s="378" t="s">
        <v>769</v>
      </c>
    </row>
    <row r="100" spans="3:4" x14ac:dyDescent="0.2">
      <c r="C100" s="1359"/>
      <c r="D100" s="378" t="s">
        <v>346</v>
      </c>
    </row>
    <row r="101" spans="3:4" x14ac:dyDescent="0.2">
      <c r="C101" s="1359"/>
      <c r="D101" s="378" t="s">
        <v>806</v>
      </c>
    </row>
    <row r="102" spans="3:4" x14ac:dyDescent="0.2">
      <c r="C102" s="1359"/>
      <c r="D102" s="378" t="s">
        <v>812</v>
      </c>
    </row>
    <row r="103" spans="3:4" x14ac:dyDescent="0.2">
      <c r="C103" s="1359"/>
      <c r="D103" s="378" t="s">
        <v>811</v>
      </c>
    </row>
    <row r="104" spans="3:4" x14ac:dyDescent="0.2">
      <c r="C104" s="1359"/>
      <c r="D104" s="379">
        <v>1</v>
      </c>
    </row>
    <row r="105" spans="3:4" ht="24" x14ac:dyDescent="0.2">
      <c r="C105" s="1359">
        <v>13</v>
      </c>
      <c r="D105" s="378" t="s">
        <v>770</v>
      </c>
    </row>
    <row r="106" spans="3:4" x14ac:dyDescent="0.2">
      <c r="C106" s="1359"/>
      <c r="D106" s="378" t="s">
        <v>346</v>
      </c>
    </row>
    <row r="107" spans="3:4" x14ac:dyDescent="0.2">
      <c r="C107" s="1359"/>
      <c r="D107" s="378" t="s">
        <v>806</v>
      </c>
    </row>
    <row r="108" spans="3:4" x14ac:dyDescent="0.2">
      <c r="C108" s="1359"/>
      <c r="D108" s="378" t="s">
        <v>812</v>
      </c>
    </row>
    <row r="109" spans="3:4" x14ac:dyDescent="0.2">
      <c r="C109" s="1359"/>
      <c r="D109" s="378" t="s">
        <v>811</v>
      </c>
    </row>
    <row r="110" spans="3:4" x14ac:dyDescent="0.2">
      <c r="C110" s="1359"/>
      <c r="D110" s="379">
        <v>1</v>
      </c>
    </row>
    <row r="111" spans="3:4" x14ac:dyDescent="0.2">
      <c r="C111" s="1359">
        <v>14</v>
      </c>
      <c r="D111" s="378" t="s">
        <v>771</v>
      </c>
    </row>
    <row r="112" spans="3:4" x14ac:dyDescent="0.2">
      <c r="C112" s="1359"/>
      <c r="D112" s="378" t="s">
        <v>346</v>
      </c>
    </row>
    <row r="113" spans="3:4" x14ac:dyDescent="0.2">
      <c r="C113" s="1359"/>
      <c r="D113" s="378" t="s">
        <v>806</v>
      </c>
    </row>
    <row r="114" spans="3:4" x14ac:dyDescent="0.2">
      <c r="C114" s="1359"/>
      <c r="D114" s="378" t="s">
        <v>812</v>
      </c>
    </row>
    <row r="115" spans="3:4" x14ac:dyDescent="0.2">
      <c r="C115" s="1359"/>
      <c r="D115" s="378" t="s">
        <v>811</v>
      </c>
    </row>
    <row r="116" spans="3:4" x14ac:dyDescent="0.2">
      <c r="C116" s="1359"/>
      <c r="D116" s="379">
        <v>1</v>
      </c>
    </row>
    <row r="117" spans="3:4" x14ac:dyDescent="0.2">
      <c r="C117" s="1359">
        <v>15</v>
      </c>
      <c r="D117" s="378" t="s">
        <v>772</v>
      </c>
    </row>
    <row r="118" spans="3:4" x14ac:dyDescent="0.2">
      <c r="C118" s="1359"/>
      <c r="D118" s="378" t="s">
        <v>346</v>
      </c>
    </row>
    <row r="119" spans="3:4" x14ac:dyDescent="0.2">
      <c r="C119" s="1359"/>
      <c r="D119" s="378" t="s">
        <v>806</v>
      </c>
    </row>
    <row r="120" spans="3:4" x14ac:dyDescent="0.2">
      <c r="C120" s="1359"/>
      <c r="D120" s="378" t="s">
        <v>812</v>
      </c>
    </row>
    <row r="121" spans="3:4" x14ac:dyDescent="0.2">
      <c r="C121" s="1359"/>
      <c r="D121" s="378" t="s">
        <v>811</v>
      </c>
    </row>
    <row r="122" spans="3:4" x14ac:dyDescent="0.2">
      <c r="C122" s="1359"/>
      <c r="D122" s="379">
        <v>2</v>
      </c>
    </row>
    <row r="123" spans="3:4" x14ac:dyDescent="0.2">
      <c r="C123" s="1359">
        <v>16</v>
      </c>
      <c r="D123" s="378" t="s">
        <v>773</v>
      </c>
    </row>
    <row r="124" spans="3:4" x14ac:dyDescent="0.2">
      <c r="C124" s="1359"/>
      <c r="D124" s="378" t="s">
        <v>346</v>
      </c>
    </row>
    <row r="125" spans="3:4" x14ac:dyDescent="0.2">
      <c r="C125" s="1359"/>
      <c r="D125" s="378" t="s">
        <v>806</v>
      </c>
    </row>
    <row r="126" spans="3:4" x14ac:dyDescent="0.2">
      <c r="C126" s="1359"/>
      <c r="D126" s="378" t="s">
        <v>812</v>
      </c>
    </row>
    <row r="127" spans="3:4" x14ac:dyDescent="0.2">
      <c r="C127" s="1359"/>
      <c r="D127" s="378" t="s">
        <v>811</v>
      </c>
    </row>
    <row r="128" spans="3:4" x14ac:dyDescent="0.2">
      <c r="C128" s="1359"/>
      <c r="D128" s="379">
        <v>2</v>
      </c>
    </row>
    <row r="129" spans="3:4" ht="24" x14ac:dyDescent="0.2">
      <c r="C129" s="1359">
        <v>17</v>
      </c>
      <c r="D129" s="378" t="s">
        <v>774</v>
      </c>
    </row>
    <row r="130" spans="3:4" x14ac:dyDescent="0.2">
      <c r="C130" s="1359"/>
      <c r="D130" s="378" t="s">
        <v>346</v>
      </c>
    </row>
    <row r="131" spans="3:4" x14ac:dyDescent="0.2">
      <c r="C131" s="1359"/>
      <c r="D131" s="378" t="s">
        <v>806</v>
      </c>
    </row>
    <row r="132" spans="3:4" x14ac:dyDescent="0.2">
      <c r="C132" s="1359"/>
      <c r="D132" s="378" t="s">
        <v>812</v>
      </c>
    </row>
    <row r="133" spans="3:4" x14ac:dyDescent="0.2">
      <c r="C133" s="1359"/>
      <c r="D133" s="378" t="s">
        <v>811</v>
      </c>
    </row>
    <row r="134" spans="3:4" x14ac:dyDescent="0.2">
      <c r="C134" s="1359"/>
      <c r="D134" s="379">
        <v>2</v>
      </c>
    </row>
  </sheetData>
  <mergeCells count="39">
    <mergeCell ref="L4:O4"/>
    <mergeCell ref="C10:C11"/>
    <mergeCell ref="C13:C14"/>
    <mergeCell ref="F15:F22"/>
    <mergeCell ref="E15:E20"/>
    <mergeCell ref="L15:L20"/>
    <mergeCell ref="J15:J20"/>
    <mergeCell ref="K15:K20"/>
    <mergeCell ref="G23:G24"/>
    <mergeCell ref="I15:I20"/>
    <mergeCell ref="G15:G20"/>
    <mergeCell ref="B15:B20"/>
    <mergeCell ref="C29:C30"/>
    <mergeCell ref="G30:I30"/>
    <mergeCell ref="C23:C25"/>
    <mergeCell ref="H23:H24"/>
    <mergeCell ref="I23:I24"/>
    <mergeCell ref="C15:C20"/>
    <mergeCell ref="D15:D20"/>
    <mergeCell ref="C26:C28"/>
    <mergeCell ref="G26:I26"/>
    <mergeCell ref="H15:H20"/>
    <mergeCell ref="C33:C38"/>
    <mergeCell ref="C39:C44"/>
    <mergeCell ref="C45:C50"/>
    <mergeCell ref="C51:C56"/>
    <mergeCell ref="C57:C62"/>
    <mergeCell ref="C63:C68"/>
    <mergeCell ref="C69:C74"/>
    <mergeCell ref="C75:C80"/>
    <mergeCell ref="C117:C122"/>
    <mergeCell ref="C123:C128"/>
    <mergeCell ref="C129:C134"/>
    <mergeCell ref="C81:C86"/>
    <mergeCell ref="C87:C92"/>
    <mergeCell ref="C93:C98"/>
    <mergeCell ref="C99:C104"/>
    <mergeCell ref="C105:C110"/>
    <mergeCell ref="C111:C116"/>
  </mergeCells>
  <pageMargins left="0.511811024" right="0.511811024" top="0.78740157499999996" bottom="0.78740157499999996" header="0.31496062000000002" footer="0.31496062000000002"/>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sizeWithCells="1">
                  <from>
                    <xdr:col>9</xdr:col>
                    <xdr:colOff>9525</xdr:colOff>
                    <xdr:row>9</xdr:row>
                    <xdr:rowOff>685800</xdr:rowOff>
                  </from>
                  <to>
                    <xdr:col>10</xdr:col>
                    <xdr:colOff>28575</xdr:colOff>
                    <xdr:row>9</xdr:row>
                    <xdr:rowOff>895350</xdr:rowOff>
                  </to>
                </anchor>
              </controlPr>
            </control>
          </mc:Choice>
        </mc:AlternateContent>
        <mc:AlternateContent xmlns:mc="http://schemas.openxmlformats.org/markup-compatibility/2006">
          <mc:Choice Requires="x14">
            <control shapeId="35842" r:id="rId5" name="Drop Down 2">
              <controlPr defaultSize="0" autoLine="0" autoPict="0">
                <anchor moveWithCells="1" sizeWithCells="1">
                  <from>
                    <xdr:col>9</xdr:col>
                    <xdr:colOff>9525</xdr:colOff>
                    <xdr:row>10</xdr:row>
                    <xdr:rowOff>685800</xdr:rowOff>
                  </from>
                  <to>
                    <xdr:col>10</xdr:col>
                    <xdr:colOff>28575</xdr:colOff>
                    <xdr:row>10</xdr:row>
                    <xdr:rowOff>895350</xdr:rowOff>
                  </to>
                </anchor>
              </controlPr>
            </control>
          </mc:Choice>
        </mc:AlternateContent>
        <mc:AlternateContent xmlns:mc="http://schemas.openxmlformats.org/markup-compatibility/2006">
          <mc:Choice Requires="x14">
            <control shapeId="35843" r:id="rId6" name="Drop Down 3">
              <controlPr defaultSize="0" autoLine="0" autoPict="0">
                <anchor moveWithCells="1" sizeWithCells="1">
                  <from>
                    <xdr:col>9</xdr:col>
                    <xdr:colOff>9525</xdr:colOff>
                    <xdr:row>11</xdr:row>
                    <xdr:rowOff>685800</xdr:rowOff>
                  </from>
                  <to>
                    <xdr:col>10</xdr:col>
                    <xdr:colOff>28575</xdr:colOff>
                    <xdr:row>11</xdr:row>
                    <xdr:rowOff>895350</xdr:rowOff>
                  </to>
                </anchor>
              </controlPr>
            </control>
          </mc:Choice>
        </mc:AlternateContent>
        <mc:AlternateContent xmlns:mc="http://schemas.openxmlformats.org/markup-compatibility/2006">
          <mc:Choice Requires="x14">
            <control shapeId="35844" r:id="rId7" name="Drop Down 4">
              <controlPr defaultSize="0" autoLine="0" autoPict="0">
                <anchor moveWithCells="1" sizeWithCells="1">
                  <from>
                    <xdr:col>9</xdr:col>
                    <xdr:colOff>9525</xdr:colOff>
                    <xdr:row>13</xdr:row>
                    <xdr:rowOff>685800</xdr:rowOff>
                  </from>
                  <to>
                    <xdr:col>10</xdr:col>
                    <xdr:colOff>28575</xdr:colOff>
                    <xdr:row>13</xdr:row>
                    <xdr:rowOff>895350</xdr:rowOff>
                  </to>
                </anchor>
              </controlPr>
            </control>
          </mc:Choice>
        </mc:AlternateContent>
        <mc:AlternateContent xmlns:mc="http://schemas.openxmlformats.org/markup-compatibility/2006">
          <mc:Choice Requires="x14">
            <control shapeId="35845" r:id="rId8" name="Drop Down 5">
              <controlPr defaultSize="0" autoLine="0" autoPict="0">
                <anchor moveWithCells="1" sizeWithCells="1">
                  <from>
                    <xdr:col>9</xdr:col>
                    <xdr:colOff>9525</xdr:colOff>
                    <xdr:row>12</xdr:row>
                    <xdr:rowOff>295275</xdr:rowOff>
                  </from>
                  <to>
                    <xdr:col>10</xdr:col>
                    <xdr:colOff>28575</xdr:colOff>
                    <xdr:row>12</xdr:row>
                    <xdr:rowOff>504825</xdr:rowOff>
                  </to>
                </anchor>
              </controlPr>
            </control>
          </mc:Choice>
        </mc:AlternateContent>
        <mc:AlternateContent xmlns:mc="http://schemas.openxmlformats.org/markup-compatibility/2006">
          <mc:Choice Requires="x14">
            <control shapeId="35846" r:id="rId9" name="Drop Down 6">
              <controlPr defaultSize="0" autoLine="0" autoPict="0">
                <anchor moveWithCells="1" sizeWithCells="1">
                  <from>
                    <xdr:col>9</xdr:col>
                    <xdr:colOff>9525</xdr:colOff>
                    <xdr:row>15</xdr:row>
                    <xdr:rowOff>9525</xdr:rowOff>
                  </from>
                  <to>
                    <xdr:col>10</xdr:col>
                    <xdr:colOff>28575</xdr:colOff>
                    <xdr:row>15</xdr:row>
                    <xdr:rowOff>200025</xdr:rowOff>
                  </to>
                </anchor>
              </controlPr>
            </control>
          </mc:Choice>
        </mc:AlternateContent>
        <mc:AlternateContent xmlns:mc="http://schemas.openxmlformats.org/markup-compatibility/2006">
          <mc:Choice Requires="x14">
            <control shapeId="35848" r:id="rId10" name="Drop Down 8">
              <controlPr defaultSize="0" autoLine="0" autoPict="0">
                <anchor moveWithCells="1" sizeWithCells="1">
                  <from>
                    <xdr:col>9</xdr:col>
                    <xdr:colOff>9525</xdr:colOff>
                    <xdr:row>25</xdr:row>
                    <xdr:rowOff>190500</xdr:rowOff>
                  </from>
                  <to>
                    <xdr:col>10</xdr:col>
                    <xdr:colOff>28575</xdr:colOff>
                    <xdr:row>25</xdr:row>
                    <xdr:rowOff>381000</xdr:rowOff>
                  </to>
                </anchor>
              </controlPr>
            </control>
          </mc:Choice>
        </mc:AlternateContent>
        <mc:AlternateContent xmlns:mc="http://schemas.openxmlformats.org/markup-compatibility/2006">
          <mc:Choice Requires="x14">
            <control shapeId="35850" r:id="rId11" name="Drop Down 10">
              <controlPr defaultSize="0" autoLine="0" autoPict="0">
                <anchor moveWithCells="1" sizeWithCells="1">
                  <from>
                    <xdr:col>9</xdr:col>
                    <xdr:colOff>9525</xdr:colOff>
                    <xdr:row>26</xdr:row>
                    <xdr:rowOff>361950</xdr:rowOff>
                  </from>
                  <to>
                    <xdr:col>10</xdr:col>
                    <xdr:colOff>28575</xdr:colOff>
                    <xdr:row>26</xdr:row>
                    <xdr:rowOff>571500</xdr:rowOff>
                  </to>
                </anchor>
              </controlPr>
            </control>
          </mc:Choice>
        </mc:AlternateContent>
        <mc:AlternateContent xmlns:mc="http://schemas.openxmlformats.org/markup-compatibility/2006">
          <mc:Choice Requires="x14">
            <control shapeId="35852" r:id="rId12" name="Drop Down 12">
              <controlPr defaultSize="0" autoLine="0" autoPict="0">
                <anchor moveWithCells="1" sizeWithCells="1">
                  <from>
                    <xdr:col>9</xdr:col>
                    <xdr:colOff>9525</xdr:colOff>
                    <xdr:row>27</xdr:row>
                    <xdr:rowOff>381000</xdr:rowOff>
                  </from>
                  <to>
                    <xdr:col>10</xdr:col>
                    <xdr:colOff>28575</xdr:colOff>
                    <xdr:row>27</xdr:row>
                    <xdr:rowOff>590550</xdr:rowOff>
                  </to>
                </anchor>
              </controlPr>
            </control>
          </mc:Choice>
        </mc:AlternateContent>
        <mc:AlternateContent xmlns:mc="http://schemas.openxmlformats.org/markup-compatibility/2006">
          <mc:Choice Requires="x14">
            <control shapeId="35853" r:id="rId13" name="Drop Down 13">
              <controlPr defaultSize="0" autoLine="0" autoPict="0">
                <anchor moveWithCells="1" sizeWithCells="1">
                  <from>
                    <xdr:col>9</xdr:col>
                    <xdr:colOff>9525</xdr:colOff>
                    <xdr:row>29</xdr:row>
                    <xdr:rowOff>171450</xdr:rowOff>
                  </from>
                  <to>
                    <xdr:col>10</xdr:col>
                    <xdr:colOff>28575</xdr:colOff>
                    <xdr:row>29</xdr:row>
                    <xdr:rowOff>381000</xdr:rowOff>
                  </to>
                </anchor>
              </controlPr>
            </control>
          </mc:Choice>
        </mc:AlternateContent>
        <mc:AlternateContent xmlns:mc="http://schemas.openxmlformats.org/markup-compatibility/2006">
          <mc:Choice Requires="x14">
            <control shapeId="35858" r:id="rId14" name="Drop Down 18">
              <controlPr defaultSize="0" autoLine="0" autoPict="0">
                <anchor moveWithCells="1" sizeWithCells="1">
                  <from>
                    <xdr:col>9</xdr:col>
                    <xdr:colOff>9525</xdr:colOff>
                    <xdr:row>30</xdr:row>
                    <xdr:rowOff>323850</xdr:rowOff>
                  </from>
                  <to>
                    <xdr:col>10</xdr:col>
                    <xdr:colOff>28575</xdr:colOff>
                    <xdr:row>30</xdr:row>
                    <xdr:rowOff>533400</xdr:rowOff>
                  </to>
                </anchor>
              </controlPr>
            </control>
          </mc:Choice>
        </mc:AlternateContent>
        <mc:AlternateContent xmlns:mc="http://schemas.openxmlformats.org/markup-compatibility/2006">
          <mc:Choice Requires="x14">
            <control shapeId="35860" r:id="rId15" name="Drop Down 20">
              <controlPr defaultSize="0" autoLine="0" autoPict="0">
                <anchor moveWithCells="1" sizeWithCells="1">
                  <from>
                    <xdr:col>9</xdr:col>
                    <xdr:colOff>9525</xdr:colOff>
                    <xdr:row>20</xdr:row>
                    <xdr:rowOff>323850</xdr:rowOff>
                  </from>
                  <to>
                    <xdr:col>10</xdr:col>
                    <xdr:colOff>28575</xdr:colOff>
                    <xdr:row>20</xdr:row>
                    <xdr:rowOff>533400</xdr:rowOff>
                  </to>
                </anchor>
              </controlPr>
            </control>
          </mc:Choice>
        </mc:AlternateContent>
        <mc:AlternateContent xmlns:mc="http://schemas.openxmlformats.org/markup-compatibility/2006">
          <mc:Choice Requires="x14">
            <control shapeId="35861" r:id="rId16" name="Drop Down 21">
              <controlPr defaultSize="0" autoLine="0" autoPict="0">
                <anchor moveWithCells="1" sizeWithCells="1">
                  <from>
                    <xdr:col>9</xdr:col>
                    <xdr:colOff>9525</xdr:colOff>
                    <xdr:row>21</xdr:row>
                    <xdr:rowOff>428625</xdr:rowOff>
                  </from>
                  <to>
                    <xdr:col>10</xdr:col>
                    <xdr:colOff>28575</xdr:colOff>
                    <xdr:row>21</xdr:row>
                    <xdr:rowOff>638175</xdr:rowOff>
                  </to>
                </anchor>
              </controlPr>
            </control>
          </mc:Choice>
        </mc:AlternateContent>
        <mc:AlternateContent xmlns:mc="http://schemas.openxmlformats.org/markup-compatibility/2006">
          <mc:Choice Requires="x14">
            <control shapeId="35862" r:id="rId17" name="Drop Down 22">
              <controlPr defaultSize="0" autoLine="0" autoPict="0">
                <anchor moveWithCells="1" sizeWithCells="1">
                  <from>
                    <xdr:col>9</xdr:col>
                    <xdr:colOff>9525</xdr:colOff>
                    <xdr:row>22</xdr:row>
                    <xdr:rowOff>428625</xdr:rowOff>
                  </from>
                  <to>
                    <xdr:col>10</xdr:col>
                    <xdr:colOff>28575</xdr:colOff>
                    <xdr:row>22</xdr:row>
                    <xdr:rowOff>638175</xdr:rowOff>
                  </to>
                </anchor>
              </controlPr>
            </control>
          </mc:Choice>
        </mc:AlternateContent>
        <mc:AlternateContent xmlns:mc="http://schemas.openxmlformats.org/markup-compatibility/2006">
          <mc:Choice Requires="x14">
            <control shapeId="35863" r:id="rId18" name="Drop Down 23">
              <controlPr defaultSize="0" autoLine="0" autoPict="0">
                <anchor moveWithCells="1" sizeWithCells="1">
                  <from>
                    <xdr:col>9</xdr:col>
                    <xdr:colOff>9525</xdr:colOff>
                    <xdr:row>28</xdr:row>
                    <xdr:rowOff>247650</xdr:rowOff>
                  </from>
                  <to>
                    <xdr:col>10</xdr:col>
                    <xdr:colOff>28575</xdr:colOff>
                    <xdr:row>28</xdr:row>
                    <xdr:rowOff>457200</xdr:rowOff>
                  </to>
                </anchor>
              </controlPr>
            </control>
          </mc:Choice>
        </mc:AlternateContent>
        <mc:AlternateContent xmlns:mc="http://schemas.openxmlformats.org/markup-compatibility/2006">
          <mc:Choice Requires="x14">
            <control shapeId="35864" r:id="rId19" name="Drop Down 24">
              <controlPr defaultSize="0" autoLine="0" autoPict="0">
                <anchor moveWithCells="1" sizeWithCells="1">
                  <from>
                    <xdr:col>9</xdr:col>
                    <xdr:colOff>9525</xdr:colOff>
                    <xdr:row>23</xdr:row>
                    <xdr:rowOff>438150</xdr:rowOff>
                  </from>
                  <to>
                    <xdr:col>10</xdr:col>
                    <xdr:colOff>28575</xdr:colOff>
                    <xdr:row>23</xdr:row>
                    <xdr:rowOff>638175</xdr:rowOff>
                  </to>
                </anchor>
              </controlPr>
            </control>
          </mc:Choice>
        </mc:AlternateContent>
        <mc:AlternateContent xmlns:mc="http://schemas.openxmlformats.org/markup-compatibility/2006">
          <mc:Choice Requires="x14">
            <control shapeId="35865" r:id="rId20" name="Drop Down 25">
              <controlPr defaultSize="0" autoLine="0" autoPict="0">
                <anchor moveWithCells="1" sizeWithCells="1">
                  <from>
                    <xdr:col>9</xdr:col>
                    <xdr:colOff>9525</xdr:colOff>
                    <xdr:row>24</xdr:row>
                    <xdr:rowOff>428625</xdr:rowOff>
                  </from>
                  <to>
                    <xdr:col>10</xdr:col>
                    <xdr:colOff>28575</xdr:colOff>
                    <xdr:row>24</xdr:row>
                    <xdr:rowOff>638175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39997558519241921"/>
  </sheetPr>
  <dimension ref="A1:AA36"/>
  <sheetViews>
    <sheetView workbookViewId="0">
      <selection activeCell="C51" sqref="C51:C56"/>
    </sheetView>
  </sheetViews>
  <sheetFormatPr defaultColWidth="11.42578125" defaultRowHeight="12.75" x14ac:dyDescent="0.2"/>
  <cols>
    <col min="1" max="1" width="9.28515625" style="338" customWidth="1"/>
    <col min="2" max="2" width="38.42578125" style="338" customWidth="1"/>
    <col min="3" max="3" width="13" style="338" customWidth="1"/>
    <col min="4" max="4" width="22.42578125" style="338" customWidth="1"/>
    <col min="5" max="5" width="14.28515625" style="338" bestFit="1" customWidth="1"/>
    <col min="6" max="6" width="9.7109375" style="338" bestFit="1" customWidth="1"/>
    <col min="7" max="7" width="11.42578125" style="338" customWidth="1"/>
    <col min="8" max="8" width="17" style="338" bestFit="1" customWidth="1"/>
    <col min="9" max="9" width="16.42578125" style="338" bestFit="1" customWidth="1"/>
    <col min="10" max="10" width="25.42578125" style="338" customWidth="1"/>
    <col min="11" max="11" width="14.42578125" style="338" customWidth="1"/>
    <col min="12" max="12" width="12" style="338" bestFit="1" customWidth="1"/>
    <col min="13" max="13" width="25.42578125" style="338" customWidth="1"/>
    <col min="14" max="16384" width="11.42578125" style="338"/>
  </cols>
  <sheetData>
    <row r="1" spans="1:27" ht="15" x14ac:dyDescent="0.25">
      <c r="B1" s="560" t="s">
        <v>1182</v>
      </c>
    </row>
    <row r="3" spans="1:27" x14ac:dyDescent="0.2">
      <c r="A3" s="337" t="s">
        <v>852</v>
      </c>
    </row>
    <row r="4" spans="1:27" ht="15" x14ac:dyDescent="0.2">
      <c r="A4" s="339" t="s">
        <v>348</v>
      </c>
      <c r="B4" s="259" t="s">
        <v>349</v>
      </c>
    </row>
    <row r="5" spans="1:27" x14ac:dyDescent="0.2">
      <c r="J5" s="348"/>
      <c r="K5" s="348"/>
    </row>
    <row r="6" spans="1:27" x14ac:dyDescent="0.2">
      <c r="A6" s="340"/>
      <c r="B6" s="341" t="s">
        <v>247</v>
      </c>
      <c r="C6" s="342" t="s">
        <v>350</v>
      </c>
      <c r="D6" s="342" t="s">
        <v>351</v>
      </c>
      <c r="E6" s="342" t="s">
        <v>352</v>
      </c>
      <c r="F6" s="342" t="s">
        <v>353</v>
      </c>
      <c r="J6" s="348"/>
      <c r="K6" s="348"/>
    </row>
    <row r="7" spans="1:27" x14ac:dyDescent="0.2">
      <c r="A7" s="340"/>
      <c r="B7" s="343" t="s">
        <v>758</v>
      </c>
      <c r="C7" s="342">
        <f>IF('Ref_A.XV. RPS (DetalhadoI)'!D38=1,'A.XV. RPS (Base Num)'!B3,IF('Ref_A.XV. RPS (DetalhadoI)'!D38=2,'A.XV. RPS (Base Num)'!D3,IF('Ref_A.XV. RPS (DetalhadoI)'!D38=3,'A.XV. RPS (Base Num)'!F3,'A.XV. RPS (Base Num)'!H3)))</f>
        <v>0</v>
      </c>
      <c r="D7" s="344">
        <f>IF('Ref_A.XV. RPS (DetalhadoI)'!D38=1,0,IF('Ref_A.XV. RPS (DetalhadoI)'!D38=2,'A.XV. RPS (Base Num)'!E3,IF('Ref_A.XV. RPS (DetalhadoI)'!D38=3,'A.XV. RPS (Base Num)'!G3,'A.XV. RPS (Base Num)'!I3)))</f>
        <v>0.17</v>
      </c>
      <c r="E7" s="345">
        <f>D7*C7/1.64</f>
        <v>0</v>
      </c>
      <c r="F7" s="345">
        <f>E7^2</f>
        <v>0</v>
      </c>
      <c r="J7" s="348"/>
      <c r="K7" s="348"/>
    </row>
    <row r="8" spans="1:27" x14ac:dyDescent="0.2">
      <c r="A8" s="340"/>
      <c r="B8" s="343" t="s">
        <v>759</v>
      </c>
      <c r="C8" s="342">
        <f>IF('Ref_A.XV. RPS (DetalhadoI)'!D44=1,'A.XV. RPS (Base Num)'!B4,IF('Ref_A.XV. RPS (DetalhadoI)'!D44=2,'A.XV. RPS (Base Num)'!D4,IF('Ref_A.XV. RPS (DetalhadoI)'!D44=3,'A.XV. RPS (Base Num)'!F4,'A.XV. RPS (Base Num)'!H4)))</f>
        <v>0</v>
      </c>
      <c r="D8" s="344">
        <f>IF('Ref_A.XV. RPS (DetalhadoI)'!D44=1,0,IF('Ref_A.XV. RPS (DetalhadoI)'!D44=2,'A.XV. RPS (Base Num)'!E4,IF('Ref_A.XV. RPS (DetalhadoI)'!D44=3,'A.XV. RPS (Base Num)'!G4,'A.XV. RPS (Base Num)'!I4)))</f>
        <v>0.1</v>
      </c>
      <c r="E8" s="345">
        <f t="shared" ref="E8:E23" si="0">D8*C8/1.64</f>
        <v>0</v>
      </c>
      <c r="F8" s="345">
        <f t="shared" ref="F8:F23" si="1">E8^2</f>
        <v>0</v>
      </c>
      <c r="J8" s="348"/>
      <c r="K8" s="348"/>
    </row>
    <row r="9" spans="1:27" ht="24" x14ac:dyDescent="0.2">
      <c r="A9" s="340"/>
      <c r="B9" s="346" t="s">
        <v>760</v>
      </c>
      <c r="C9" s="342">
        <f>IF('Ref_A.XV. RPS (DetalhadoI)'!D50=1,'A.XV. RPS (Base Num)'!B5,IF('Ref_A.XV. RPS (DetalhadoI)'!D50=2,'A.XV. RPS (Base Num)'!D5,IF('Ref_A.XV. RPS (DetalhadoI)'!D50=3,'A.XV. RPS (Base Num)'!F5,'A.XV. RPS (Base Num)'!H5)))</f>
        <v>0</v>
      </c>
      <c r="D9" s="344">
        <f>IF('Ref_A.XV. RPS (DetalhadoI)'!D50=1,0,IF('Ref_A.XV. RPS (DetalhadoI)'!D50=2,'A.XV. RPS (Base Num)'!E5,IF('Ref_A.XV. RPS (DetalhadoI)'!D50=3,'A.XV. RPS (Base Num)'!G5,'A.XV. RPS (Base Num)'!I5)))</f>
        <v>0</v>
      </c>
      <c r="E9" s="345">
        <f t="shared" si="0"/>
        <v>0</v>
      </c>
      <c r="F9" s="345">
        <f t="shared" si="1"/>
        <v>0</v>
      </c>
      <c r="J9" s="348"/>
      <c r="K9" s="348"/>
    </row>
    <row r="10" spans="1:27" x14ac:dyDescent="0.2">
      <c r="A10" s="340"/>
      <c r="B10" s="347" t="s">
        <v>794</v>
      </c>
      <c r="C10" s="342">
        <f>IF('Ref_A.XV. RPS (DetalhadoI)'!D56=1,'A.XV. RPS (Base Num)'!B6,IF('Ref_A.XV. RPS (DetalhadoI)'!D56=2,'A.XV. RPS (Base Num)'!F6,IF('Ref_A.XV. RPS (DetalhadoI)'!D56=3,'A.XV. RPS (Base Num)'!F6,'A.XV. RPS (Base Num)'!H6)))</f>
        <v>0</v>
      </c>
      <c r="D10" s="344">
        <f>IF('Ref_A.XV. RPS (DetalhadoI)'!D56=1,0,IF('Ref_A.XV. RPS (DetalhadoI)'!D56=2,'A.XV. RPS (Base Num)'!E6,IF('Ref_A.XV. RPS (DetalhadoI)'!D56=3,'A.XV. RPS (Base Num)'!G6,'A.XV. RPS (Base Num)'!I6)))</f>
        <v>0</v>
      </c>
      <c r="E10" s="345">
        <f t="shared" si="0"/>
        <v>0</v>
      </c>
      <c r="F10" s="345">
        <f t="shared" si="1"/>
        <v>0</v>
      </c>
      <c r="J10" s="348"/>
      <c r="K10" s="348"/>
    </row>
    <row r="11" spans="1:27" x14ac:dyDescent="0.2">
      <c r="A11" s="340"/>
      <c r="B11" s="347" t="s">
        <v>762</v>
      </c>
      <c r="C11" s="342">
        <f>IF('Ref_A.XV. RPS (DetalhadoI)'!D62=1,'A.XV. RPS (Base Num)'!B7,IF('Ref_A.XV. RPS (DetalhadoI)'!D62=2,'A.XV. RPS (Base Num)'!D7,IF('Ref_A.XV. RPS (DetalhadoI)'!D62=3,'A.XV. RPS (Base Num)'!F7,'A.XV. RPS (Base Num)'!H7)))</f>
        <v>0</v>
      </c>
      <c r="D11" s="344">
        <f>IF('Ref_A.XV. RPS (DetalhadoI)'!D62=1,0,IF('Ref_A.XV. RPS (DetalhadoI)'!D62=2,'A.XV. RPS (Base Num)'!E7,IF('Ref_A.XV. RPS (DetalhadoI)'!D62=3,'A.XV. RPS (Base Num)'!G7,'A.XV. RPS (Base Num)'!I7)))</f>
        <v>0</v>
      </c>
      <c r="E11" s="345">
        <f t="shared" si="0"/>
        <v>0</v>
      </c>
      <c r="F11" s="345">
        <f t="shared" si="1"/>
        <v>0</v>
      </c>
      <c r="J11" s="348"/>
      <c r="K11" s="348"/>
    </row>
    <row r="12" spans="1:27" x14ac:dyDescent="0.2">
      <c r="A12" s="340"/>
      <c r="B12" s="347" t="s">
        <v>763</v>
      </c>
      <c r="C12" s="342">
        <f>IF('Ref_A.XV. RPS (DetalhadoI)'!D68=1,'A.XV. RPS (Base Num)'!B8,IF('Ref_A.XV. RPS (DetalhadoI)'!D68=2,'A.XV. RPS (Base Num)'!D8,IF('Ref_A.XV. RPS (DetalhadoI)'!D68=3,'A.XV. RPS (Base Num)'!F8,'A.XV. RPS (Base Num)'!H8)))</f>
        <v>0</v>
      </c>
      <c r="D12" s="344">
        <f>IF('Ref_A.XV. RPS (DetalhadoI)'!D68=1,0,IF('Ref_A.XV. RPS (DetalhadoI)'!D68=2,'A.XV. RPS (Base Num)'!E8,IF('Ref_A.XV. RPS (DetalhadoI)'!D68=3,'A.XV. RPS (Base Num)'!G8,'A.XV. RPS (Base Num)'!I8)))</f>
        <v>0</v>
      </c>
      <c r="E12" s="345">
        <f t="shared" si="0"/>
        <v>0</v>
      </c>
      <c r="F12" s="345">
        <f t="shared" si="1"/>
        <v>0</v>
      </c>
      <c r="J12" s="348"/>
      <c r="K12" s="348"/>
    </row>
    <row r="13" spans="1:27" x14ac:dyDescent="0.2">
      <c r="A13" s="340"/>
      <c r="B13" s="347" t="s">
        <v>764</v>
      </c>
      <c r="C13" s="342">
        <f>IF('Ref_A.XV. RPS (DetalhadoI)'!D74=1,'A.XV. RPS (Base Num)'!B9,IF('Ref_A.XV. RPS (DetalhadoI)'!D74=2,'A.XV. RPS (Base Num)'!D9,IF('Ref_A.XV. RPS (DetalhadoI)'!D74=3,'A.XV. RPS (Base Num)'!F9,'A.XV. RPS (Base Num)'!H9)))</f>
        <v>0</v>
      </c>
      <c r="D13" s="344">
        <f>IF('Ref_A.XV. RPS (DetalhadoI)'!D74=1,0,IF('Ref_A.XV. RPS (DetalhadoI)'!D74=2,'A.XV. RPS (Base Num)'!E9,IF('Ref_A.XV. RPS (DetalhadoI)'!D74=3,'A.XV. RPS (Base Num)'!G9,'A.XV. RPS (Base Num)'!I9)))</f>
        <v>0</v>
      </c>
      <c r="E13" s="345">
        <f t="shared" si="0"/>
        <v>0</v>
      </c>
      <c r="F13" s="345">
        <f t="shared" si="1"/>
        <v>0</v>
      </c>
      <c r="J13" s="348"/>
      <c r="K13" s="348"/>
      <c r="L13" s="348"/>
      <c r="M13" s="348"/>
      <c r="N13" s="348"/>
      <c r="O13" s="348"/>
      <c r="P13" s="348"/>
      <c r="Q13" s="348"/>
      <c r="R13" s="348"/>
      <c r="S13" s="348"/>
      <c r="T13" s="348"/>
      <c r="U13" s="348"/>
      <c r="V13" s="348"/>
      <c r="W13" s="348"/>
      <c r="X13" s="348"/>
      <c r="Y13" s="348"/>
      <c r="Z13" s="348"/>
      <c r="AA13" s="348"/>
    </row>
    <row r="14" spans="1:27" x14ac:dyDescent="0.2">
      <c r="A14" s="340"/>
      <c r="B14" s="347" t="s">
        <v>765</v>
      </c>
      <c r="C14" s="349">
        <f>IF('Ref_A.XV. RPS (DetalhadoI)'!D80=1,'A.XV. RPS (Base Num)'!B10,IF('Ref_A.XV. RPS (DetalhadoI)'!D80=2,'A.XV. RPS (Base Num)'!D10,IF('Ref_A.XV. RPS (DetalhadoI)'!D80=3,'A.XV. RPS (Base Num)'!F10,'A.XV. RPS (Base Num)'!H10)))</f>
        <v>0</v>
      </c>
      <c r="D14" s="344">
        <f>IF('Ref_A.XV. RPS (DetalhadoI)'!D80=1,0,IF('Ref_A.XV. RPS (DetalhadoI)'!D80=2,'A.XV. RPS (Base Num)'!E10,IF('Ref_A.XV. RPS (DetalhadoI)'!D80=3,'A.XV. RPS (Base Num)'!G10,'A.XV. RPS (Base Num)'!I10)))</f>
        <v>0</v>
      </c>
      <c r="E14" s="345">
        <f t="shared" si="0"/>
        <v>0</v>
      </c>
      <c r="F14" s="345">
        <f t="shared" si="1"/>
        <v>0</v>
      </c>
      <c r="J14" s="348"/>
      <c r="K14" s="348"/>
      <c r="L14" s="348"/>
      <c r="M14" s="348"/>
      <c r="N14" s="348"/>
      <c r="O14" s="348"/>
      <c r="P14" s="348"/>
      <c r="Q14" s="348"/>
      <c r="R14" s="348"/>
      <c r="S14" s="348"/>
      <c r="T14" s="348"/>
      <c r="U14" s="348"/>
      <c r="V14" s="348"/>
      <c r="W14" s="348"/>
      <c r="X14" s="348"/>
      <c r="Y14" s="348"/>
      <c r="Z14" s="348"/>
      <c r="AA14" s="348"/>
    </row>
    <row r="15" spans="1:27" x14ac:dyDescent="0.2">
      <c r="A15" s="340"/>
      <c r="B15" s="347" t="s">
        <v>766</v>
      </c>
      <c r="C15" s="342">
        <f>IF('Ref_A.XV. RPS (DetalhadoI)'!D86=1,'A.XV. RPS (Base Num)'!B11,IF('Ref_A.XV. RPS (DetalhadoI)'!D86=2,'A.XV. RPS (Base Num)'!D11,IF('Ref_A.XV. RPS (DetalhadoI)'!D86=3,'A.XV. RPS (Base Num)'!F11,'A.XV. RPS (Base Num)'!H11)))</f>
        <v>100</v>
      </c>
      <c r="D15" s="344">
        <f>IF('Ref_A.XV. RPS (DetalhadoI)'!D86=1,0,IF('Ref_A.XV. RPS (DetalhadoI)'!D86=2,'A.XV. RPS (Base Num)'!E11,IF('Ref_A.XV. RPS (DetalhadoI)'!D86=3,'A.XV. RPS (Base Num)'!G11,'A.XV. RPS (Base Num)'!I11)))</f>
        <v>1.2E-2</v>
      </c>
      <c r="E15" s="345">
        <f t="shared" si="0"/>
        <v>0.73170731707317072</v>
      </c>
      <c r="F15" s="345">
        <f t="shared" si="1"/>
        <v>0.53539559785841762</v>
      </c>
      <c r="J15" s="348"/>
      <c r="K15" s="348"/>
      <c r="L15" s="348"/>
      <c r="M15" s="348"/>
      <c r="N15" s="348"/>
      <c r="O15" s="348"/>
      <c r="P15" s="348"/>
      <c r="Q15" s="348"/>
      <c r="R15" s="348"/>
      <c r="S15" s="348"/>
      <c r="T15" s="348"/>
      <c r="U15" s="348"/>
      <c r="V15" s="348"/>
      <c r="W15" s="348"/>
      <c r="X15" s="348"/>
      <c r="Y15" s="348"/>
      <c r="Z15" s="348"/>
      <c r="AA15" s="348"/>
    </row>
    <row r="16" spans="1:27" x14ac:dyDescent="0.2">
      <c r="A16" s="340"/>
      <c r="B16" s="343" t="s">
        <v>767</v>
      </c>
      <c r="C16" s="342">
        <f>IF('Ref_A.XV. RPS (DetalhadoI)'!D92=1,'A.XV. RPS (Base Num)'!B12,IF('Ref_A.XV. RPS (DetalhadoI)'!D92=2,'A.XV. RPS (Base Num)'!D12,IF('Ref_A.XV. RPS (DetalhadoI)'!D92=3,'A.XV. RPS (Base Num)'!F12,'A.XV. RPS (Base Num)'!H12)))</f>
        <v>0.93999999999999984</v>
      </c>
      <c r="D16" s="344">
        <f>IF('Ref_A.XV. RPS (DetalhadoI)'!D92=1,0,IF('Ref_A.XV. RPS (DetalhadoI)'!D92=2,'A.XV. RPS (Base Num)'!E12,IF('Ref_A.XV. RPS (DetalhadoI)'!D92=3,'A.XV. RPS (Base Num)'!G12,'A.XV. RPS (Base Num)'!I12)))</f>
        <v>3.5000000000000031E-2</v>
      </c>
      <c r="E16" s="345">
        <f t="shared" si="0"/>
        <v>2.0060975609756115E-2</v>
      </c>
      <c r="F16" s="345">
        <f t="shared" si="1"/>
        <v>4.0244274241522975E-4</v>
      </c>
      <c r="J16" s="348"/>
      <c r="K16" s="348"/>
      <c r="L16" s="348"/>
      <c r="M16" s="348"/>
      <c r="N16" s="348"/>
      <c r="O16" s="348"/>
      <c r="P16" s="348"/>
      <c r="Q16" s="348"/>
      <c r="R16" s="348"/>
      <c r="S16" s="348"/>
      <c r="T16" s="348"/>
      <c r="U16" s="348"/>
      <c r="V16" s="348"/>
      <c r="W16" s="348"/>
      <c r="X16" s="348"/>
      <c r="Y16" s="348"/>
      <c r="Z16" s="348"/>
      <c r="AA16" s="348"/>
    </row>
    <row r="17" spans="1:27" x14ac:dyDescent="0.2">
      <c r="A17" s="340"/>
      <c r="B17" s="347" t="s">
        <v>768</v>
      </c>
      <c r="C17" s="342">
        <f>IF('Ref_A.XV. RPS (DetalhadoI)'!D98=1,'A.XV. RPS (Base Num)'!B13,IF('Ref_A.XV. RPS (DetalhadoI)'!D98=2,'A.XV. RPS (Base Num)'!D13,IF('Ref_A.XV. RPS (DetalhadoI)'!D98=3,'A.XV. RPS (Base Num)'!F13,'A.XV. RPS (Base Num)'!H13)))</f>
        <v>0</v>
      </c>
      <c r="D17" s="344">
        <f>IF('Ref_A.XV. RPS (DetalhadoI)'!D98=1,0,IF('Ref_A.XV. RPS (DetalhadoI)'!D98=2,'A.XV. RPS (Base Num)'!E13,IF('Ref_A.XV. RPS (DetalhadoI)'!D98=3,'A.XV. RPS (Base Num)'!G13,'A.XV. RPS (Base Num)'!I13)))</f>
        <v>0</v>
      </c>
      <c r="E17" s="345">
        <f t="shared" si="0"/>
        <v>0</v>
      </c>
      <c r="F17" s="345">
        <f t="shared" si="1"/>
        <v>0</v>
      </c>
      <c r="J17" s="348"/>
      <c r="K17" s="348"/>
      <c r="L17" s="348"/>
      <c r="M17" s="348"/>
      <c r="N17" s="348"/>
      <c r="O17" s="348"/>
      <c r="P17" s="348"/>
      <c r="Q17" s="348"/>
      <c r="R17" s="348"/>
      <c r="S17" s="348"/>
      <c r="T17" s="348"/>
      <c r="U17" s="348"/>
      <c r="V17" s="348"/>
      <c r="W17" s="348"/>
      <c r="X17" s="348"/>
      <c r="Y17" s="348"/>
      <c r="Z17" s="348"/>
      <c r="AA17" s="348"/>
    </row>
    <row r="18" spans="1:27" x14ac:dyDescent="0.2">
      <c r="A18" s="340"/>
      <c r="B18" s="347" t="s">
        <v>769</v>
      </c>
      <c r="C18" s="342">
        <f>IF('Ref_A.XV. RPS (DetalhadoI)'!D104=1,'A.XV. RPS (Base Num)'!B14,IF('Ref_A.XV. RPS (DetalhadoI)'!D104=2,'A.XV. RPS (Base Num)'!D14,IF('Ref_A.XV. RPS (DetalhadoI)'!D104=3,'A.XV. RPS (Base Num)'!F14,'A.XV. RPS (Base Num)'!H14)))</f>
        <v>0</v>
      </c>
      <c r="D18" s="344">
        <f>IF('Ref_A.XV. RPS (DetalhadoI)'!D104=1,0,IF('Ref_A.XV. RPS (DetalhadoI)'!D104=2,'A.XV. RPS (Base Num)'!E14,IF('Ref_A.XV. RPS (DetalhadoI)'!D104=3,'A.XV. RPS (Base Num)'!G14,'A.XV. RPS (Base Num)'!I14)))</f>
        <v>0</v>
      </c>
      <c r="E18" s="345">
        <f t="shared" si="0"/>
        <v>0</v>
      </c>
      <c r="F18" s="345">
        <f t="shared" si="1"/>
        <v>0</v>
      </c>
      <c r="J18" s="348"/>
      <c r="K18" s="348"/>
      <c r="L18" s="348"/>
      <c r="M18" s="348"/>
      <c r="N18" s="348"/>
      <c r="O18" s="348"/>
      <c r="P18" s="348"/>
      <c r="Q18" s="348"/>
      <c r="R18" s="348"/>
      <c r="S18" s="348"/>
      <c r="T18" s="348"/>
      <c r="U18" s="348"/>
      <c r="V18" s="348"/>
      <c r="W18" s="348"/>
      <c r="X18" s="348"/>
      <c r="Y18" s="348"/>
      <c r="Z18" s="348"/>
      <c r="AA18" s="348"/>
    </row>
    <row r="19" spans="1:27" x14ac:dyDescent="0.2">
      <c r="A19" s="340"/>
      <c r="B19" s="347" t="s">
        <v>770</v>
      </c>
      <c r="C19" s="342">
        <f>IF('Ref_A.XV. RPS (DetalhadoI)'!D110=1,'A.XV. RPS (Base Num)'!B15,IF('Ref_A.XV. RPS (DetalhadoI)'!D110=2,'A.XV. RPS (Base Num)'!D15,IF('Ref_A.XV. RPS (DetalhadoI)'!D110=3,'A.XV. RPS (Base Num)'!F15,'A.XV. RPS (Base Num)'!H15)))</f>
        <v>0</v>
      </c>
      <c r="D19" s="344">
        <f>IF('Ref_A.XV. RPS (DetalhadoI)'!D110=1,0,IF('Ref_A.XV. RPS (DetalhadoI)'!D110=2,'A.XV. RPS (Base Num)'!E15,IF('Ref_A.XV. RPS (DetalhadoI)'!D110=3,'A.XV. RPS (Base Num)'!G15,'A.XV. RPS (Base Num)'!I15)))</f>
        <v>0</v>
      </c>
      <c r="E19" s="345">
        <f t="shared" si="0"/>
        <v>0</v>
      </c>
      <c r="F19" s="345">
        <f t="shared" si="1"/>
        <v>0</v>
      </c>
      <c r="J19" s="348"/>
      <c r="K19" s="350"/>
      <c r="L19" s="350"/>
      <c r="M19" s="350"/>
      <c r="N19" s="348"/>
      <c r="O19" s="348"/>
      <c r="P19" s="348"/>
      <c r="Q19" s="348"/>
      <c r="R19" s="348"/>
      <c r="S19" s="348"/>
      <c r="T19" s="348"/>
      <c r="U19" s="348"/>
      <c r="V19" s="348"/>
      <c r="W19" s="348"/>
      <c r="X19" s="348"/>
      <c r="Y19" s="348"/>
      <c r="Z19" s="348"/>
      <c r="AA19" s="348"/>
    </row>
    <row r="20" spans="1:27" x14ac:dyDescent="0.2">
      <c r="A20" s="340"/>
      <c r="B20" s="347" t="s">
        <v>771</v>
      </c>
      <c r="C20" s="342">
        <f>IF('Ref_A.XV. RPS (DetalhadoI)'!D116=1,'A.XV. RPS (Base Num)'!B16,IF('Ref_A.XV. RPS (DetalhadoI)'!D116=2,'A.XV. RPS (Base Num)'!D16,IF('Ref_A.XV. RPS (DetalhadoI)'!D116=3,'A.XV. RPS (Base Num)'!F16,'A.XV. RPS (Base Num)'!H16)))</f>
        <v>0</v>
      </c>
      <c r="D20" s="344">
        <f>IF('Ref_A.XV. RPS (DetalhadoI)'!D116=1,0,IF('Ref_A.XV. RPS (DetalhadoI)'!D116=2,'A.XV. RPS (Base Num)'!E16,IF('Ref_A.XV. RPS (DetalhadoI)'!D116=3,'A.XV. RPS (Base Num)'!G16,'A.XV. RPS (Base Num)'!I16)))</f>
        <v>0</v>
      </c>
      <c r="E20" s="345">
        <f t="shared" si="0"/>
        <v>0</v>
      </c>
      <c r="F20" s="345">
        <f t="shared" si="1"/>
        <v>0</v>
      </c>
      <c r="J20" s="348"/>
      <c r="K20" s="350"/>
      <c r="L20" s="350"/>
      <c r="M20" s="350"/>
      <c r="N20" s="348"/>
      <c r="O20" s="348"/>
      <c r="P20" s="348"/>
      <c r="Q20" s="348"/>
      <c r="R20" s="348"/>
      <c r="S20" s="348"/>
      <c r="T20" s="348"/>
      <c r="U20" s="348"/>
      <c r="V20" s="348"/>
      <c r="W20" s="348"/>
      <c r="X20" s="348"/>
      <c r="Y20" s="348"/>
      <c r="Z20" s="348"/>
      <c r="AA20" s="348"/>
    </row>
    <row r="21" spans="1:27" x14ac:dyDescent="0.2">
      <c r="A21" s="340"/>
      <c r="B21" s="347" t="s">
        <v>772</v>
      </c>
      <c r="C21" s="342">
        <f>IF('Ref_A.XV. RPS (DetalhadoI)'!D122=1,'A.XV. RPS (Base Num)'!B17,IF('Ref_A.XV. RPS (DetalhadoI)'!D122=2,'A.XV. RPS (Base Num)'!D17,IF('Ref_A.XV. RPS (DetalhadoI)'!D122=3,'A.XV. RPS (Base Num)'!F17,'A.XV. RPS (Base Num)'!H17)))</f>
        <v>0</v>
      </c>
      <c r="D21" s="344">
        <f>IF('Ref_A.XV. RPS (DetalhadoI)'!D122=1,0,IF('Ref_A.XV. RPS (DetalhadoI)'!D122=2,'A.XV. RPS (Base Num)'!E17,IF('Ref_A.XV. RPS (DetalhadoI)'!D122=3,'A.XV. RPS (Base Num)'!G17,'A.XV. RPS (Base Num)'!I17)))</f>
        <v>3.6960000000000031E-3</v>
      </c>
      <c r="E21" s="345">
        <f t="shared" si="0"/>
        <v>0</v>
      </c>
      <c r="F21" s="345">
        <f t="shared" si="1"/>
        <v>0</v>
      </c>
      <c r="J21" s="348"/>
      <c r="K21" s="350"/>
      <c r="L21" s="350"/>
      <c r="M21" s="350"/>
      <c r="N21" s="348"/>
      <c r="O21" s="348"/>
      <c r="P21" s="348"/>
      <c r="Q21" s="348"/>
      <c r="R21" s="348"/>
      <c r="S21" s="348"/>
      <c r="T21" s="348"/>
      <c r="U21" s="348"/>
      <c r="V21" s="348"/>
      <c r="W21" s="348"/>
      <c r="X21" s="348"/>
      <c r="Y21" s="348"/>
      <c r="Z21" s="348"/>
      <c r="AA21" s="348"/>
    </row>
    <row r="22" spans="1:27" x14ac:dyDescent="0.2">
      <c r="A22" s="340"/>
      <c r="B22" s="347" t="s">
        <v>773</v>
      </c>
      <c r="C22" s="342">
        <f>IF('Ref_A.XV. RPS (DetalhadoI)'!D128=1,'A.XV. RPS (Base Num)'!B18,IF('Ref_A.XV. RPS (DetalhadoI)'!D128=2,'A.XV. RPS (Base Num)'!D18,IF('Ref_A.XV. RPS (DetalhadoI)'!D128=3,'A.XV. RPS (Base Num)'!F18,'A.XV. RPS (Base Num)'!H18)))</f>
        <v>100</v>
      </c>
      <c r="D22" s="344">
        <f>IF('Ref_A.XV. RPS (DetalhadoI)'!D128=1,0,IF('Ref_A.XV. RPS (DetalhadoI)'!D128=2,'A.XV. RPS (Base Num)'!E18,IF('Ref_A.XV. RPS (DetalhadoI)'!D128=3,'A.XV. RPS (Base Num)'!G18,'A.XV. RPS (Base Num)'!I18)))</f>
        <v>1.3333333333333334E-2</v>
      </c>
      <c r="E22" s="345">
        <f t="shared" si="0"/>
        <v>0.81300813008130091</v>
      </c>
      <c r="F22" s="345">
        <f t="shared" si="1"/>
        <v>0.66098221957829351</v>
      </c>
      <c r="J22" s="348"/>
      <c r="K22" s="350"/>
      <c r="L22" s="350"/>
      <c r="M22" s="350"/>
      <c r="N22" s="348"/>
      <c r="O22" s="348"/>
      <c r="P22" s="348"/>
      <c r="Q22" s="348"/>
      <c r="R22" s="348"/>
      <c r="S22" s="348"/>
      <c r="T22" s="348"/>
      <c r="U22" s="348"/>
      <c r="V22" s="348"/>
      <c r="W22" s="348"/>
      <c r="X22" s="348"/>
      <c r="Y22" s="348"/>
      <c r="Z22" s="348"/>
      <c r="AA22" s="348"/>
    </row>
    <row r="23" spans="1:27" ht="12.75" customHeight="1" x14ac:dyDescent="0.2">
      <c r="A23" s="340"/>
      <c r="B23" s="347" t="s">
        <v>774</v>
      </c>
      <c r="C23" s="342">
        <f>IF('Ref_A.XV. RPS (DetalhadoI)'!D134=1,'A.XV. RPS (Base Num)'!B19,IF('Ref_A.XV. RPS (DetalhadoI)'!D134=2,'A.XV. RPS (Base Num)'!D19,IF('Ref_A.XV. RPS (DetalhadoI)'!D134=3,'A.XV. RPS (Base Num)'!F19,'A.XV. RPS (Base Num)'!H19)))</f>
        <v>0</v>
      </c>
      <c r="D23" s="344">
        <f>IF('Ref_A.XV. RPS (DetalhadoI)'!D134=1,0,IF('Ref_A.XV. RPS (DetalhadoI)'!D134=2,'A.XV. RPS (Base Num)'!E19,IF('Ref_A.XV. RPS (DetalhadoI)'!D134=3,'A.XV. RPS (Base Num)'!G19,'A.XV. RPS (Base Num)'!I19)))</f>
        <v>1.6E-2</v>
      </c>
      <c r="E23" s="345">
        <f t="shared" si="0"/>
        <v>0</v>
      </c>
      <c r="F23" s="345">
        <f t="shared" si="1"/>
        <v>0</v>
      </c>
      <c r="J23" s="348"/>
      <c r="K23" s="350"/>
      <c r="L23" s="350">
        <v>1</v>
      </c>
      <c r="M23" s="350"/>
      <c r="N23" s="348"/>
      <c r="O23" s="348"/>
      <c r="P23" s="348"/>
      <c r="Q23" s="348"/>
      <c r="R23" s="348"/>
      <c r="S23" s="348"/>
      <c r="T23" s="348"/>
      <c r="U23" s="348"/>
      <c r="V23" s="348"/>
      <c r="W23" s="348"/>
      <c r="X23" s="348"/>
      <c r="Y23" s="348"/>
      <c r="Z23" s="348"/>
      <c r="AA23" s="348"/>
    </row>
    <row r="24" spans="1:27" x14ac:dyDescent="0.2">
      <c r="A24" s="340"/>
      <c r="B24" s="351"/>
      <c r="C24" s="352"/>
      <c r="D24" s="353"/>
      <c r="E24" s="354"/>
      <c r="F24" s="354"/>
      <c r="J24" s="348"/>
      <c r="K24" s="350"/>
      <c r="L24" s="350"/>
      <c r="M24" s="350"/>
      <c r="N24" s="348"/>
      <c r="O24" s="348"/>
      <c r="P24" s="348"/>
      <c r="Q24" s="348"/>
      <c r="R24" s="348"/>
      <c r="S24" s="348"/>
      <c r="T24" s="348"/>
      <c r="U24" s="348"/>
      <c r="V24" s="348"/>
      <c r="W24" s="348"/>
      <c r="X24" s="348"/>
      <c r="Y24" s="348"/>
      <c r="Z24" s="348"/>
      <c r="AA24" s="348"/>
    </row>
    <row r="25" spans="1:27" ht="15" x14ac:dyDescent="0.2">
      <c r="A25" s="339" t="s">
        <v>356</v>
      </c>
      <c r="B25" s="259" t="s">
        <v>357</v>
      </c>
      <c r="J25" s="348"/>
      <c r="K25" s="350"/>
      <c r="L25" s="350"/>
      <c r="M25" s="350"/>
      <c r="N25" s="348"/>
      <c r="O25" s="348"/>
      <c r="P25" s="348"/>
      <c r="Q25" s="348"/>
      <c r="R25" s="348"/>
      <c r="S25" s="348"/>
      <c r="T25" s="348"/>
      <c r="U25" s="348"/>
      <c r="V25" s="348"/>
      <c r="W25" s="348"/>
      <c r="X25" s="348"/>
      <c r="Y25" s="348"/>
      <c r="Z25" s="348"/>
      <c r="AA25" s="348"/>
    </row>
    <row r="26" spans="1:27" x14ac:dyDescent="0.2">
      <c r="H26" s="355" t="s">
        <v>354</v>
      </c>
      <c r="I26" s="355" t="s">
        <v>355</v>
      </c>
      <c r="J26" s="348"/>
      <c r="K26" s="350"/>
      <c r="L26" s="350"/>
      <c r="M26" s="350"/>
      <c r="N26" s="348"/>
      <c r="O26" s="348"/>
      <c r="P26" s="348"/>
      <c r="Q26" s="348"/>
      <c r="R26" s="348"/>
      <c r="S26" s="348"/>
      <c r="T26" s="348"/>
      <c r="U26" s="348"/>
      <c r="V26" s="348"/>
      <c r="W26" s="348"/>
      <c r="X26" s="348"/>
      <c r="Y26" s="348"/>
      <c r="Z26" s="348"/>
      <c r="AA26" s="348"/>
    </row>
    <row r="27" spans="1:27" ht="15" x14ac:dyDescent="0.2">
      <c r="H27" s="356">
        <v>0.95</v>
      </c>
      <c r="I27" s="357">
        <f>(SUM(F7:F23)^0.5)*1.65</f>
        <v>1.8050579653677803</v>
      </c>
      <c r="J27" s="348"/>
      <c r="K27" s="350"/>
      <c r="L27" s="350">
        <f>I27/100</f>
        <v>1.8050579653677803E-2</v>
      </c>
      <c r="M27" s="350"/>
      <c r="N27" s="348"/>
      <c r="O27" s="348"/>
      <c r="P27" s="348"/>
      <c r="Q27" s="348"/>
      <c r="R27" s="348"/>
      <c r="S27" s="348"/>
      <c r="T27" s="348"/>
      <c r="U27" s="348"/>
      <c r="V27" s="348"/>
      <c r="W27" s="348"/>
      <c r="X27" s="348"/>
      <c r="Y27" s="348"/>
      <c r="Z27" s="348"/>
      <c r="AA27" s="348"/>
    </row>
    <row r="28" spans="1:27" ht="15" x14ac:dyDescent="0.25">
      <c r="A28" s="339" t="s">
        <v>348</v>
      </c>
      <c r="B28" s="358" t="s">
        <v>263</v>
      </c>
      <c r="H28" s="359">
        <v>0.9</v>
      </c>
      <c r="I28" s="357">
        <f>(SUM(F7:F23)^0.5)*1.29</f>
        <v>1.4112271365602647</v>
      </c>
      <c r="J28" s="348"/>
      <c r="K28" s="350"/>
      <c r="L28" s="350">
        <f>I28/100</f>
        <v>1.4112271365602646E-2</v>
      </c>
      <c r="M28" s="350"/>
      <c r="N28" s="348"/>
      <c r="O28" s="348"/>
      <c r="P28" s="348"/>
      <c r="Q28" s="348"/>
      <c r="R28" s="348"/>
      <c r="S28" s="348"/>
      <c r="T28" s="348"/>
      <c r="U28" s="348"/>
      <c r="V28" s="348"/>
      <c r="W28" s="348"/>
      <c r="X28" s="348"/>
      <c r="Y28" s="348"/>
      <c r="Z28" s="348"/>
      <c r="AA28" s="348"/>
    </row>
    <row r="29" spans="1:27" ht="15" x14ac:dyDescent="0.25">
      <c r="B29" s="360" t="s">
        <v>264</v>
      </c>
      <c r="C29" s="361">
        <f>IF(L23=1,IF(L32&lt;0.0502,0.0502,L32),IF(L23=2,IF(L32&lt;0.0393,0.0393,L32),IF(L23=3,IF(L32&lt;0.0289,0.0289,L32),"ERRO")))</f>
        <v>5.0200000000000002E-2</v>
      </c>
      <c r="H29" s="359">
        <v>0.85</v>
      </c>
      <c r="I29" s="357">
        <f>(SUM(F7:F23)^0.5)*1.035</f>
        <v>1.1322636328216076</v>
      </c>
      <c r="J29" s="348"/>
      <c r="K29" s="350"/>
      <c r="L29" s="350">
        <f>I29/100</f>
        <v>1.1322636328216076E-2</v>
      </c>
      <c r="M29" s="350"/>
      <c r="N29" s="348"/>
      <c r="O29" s="348"/>
      <c r="P29" s="348"/>
      <c r="Q29" s="348"/>
      <c r="R29" s="348"/>
      <c r="S29" s="348"/>
      <c r="T29" s="348"/>
      <c r="U29" s="348"/>
      <c r="V29" s="348"/>
      <c r="W29" s="348"/>
      <c r="X29" s="348"/>
      <c r="Y29" s="348"/>
      <c r="Z29" s="348"/>
      <c r="AA29" s="348"/>
    </row>
    <row r="30" spans="1:27" x14ac:dyDescent="0.2">
      <c r="J30" s="348"/>
      <c r="K30" s="350"/>
      <c r="L30" s="350"/>
      <c r="M30" s="350"/>
      <c r="N30" s="348"/>
      <c r="O30" s="348"/>
      <c r="P30" s="348"/>
      <c r="Q30" s="348"/>
      <c r="R30" s="348"/>
      <c r="S30" s="348"/>
      <c r="T30" s="348"/>
      <c r="U30" s="348"/>
      <c r="V30" s="348"/>
      <c r="W30" s="348"/>
      <c r="X30" s="348"/>
      <c r="Y30" s="348"/>
      <c r="Z30" s="348"/>
      <c r="AA30" s="348"/>
    </row>
    <row r="31" spans="1:27" x14ac:dyDescent="0.2">
      <c r="J31" s="348"/>
      <c r="K31" s="350"/>
      <c r="L31" s="350"/>
      <c r="M31" s="350"/>
      <c r="N31" s="348"/>
      <c r="O31" s="348"/>
      <c r="P31" s="348"/>
      <c r="Q31" s="348"/>
      <c r="R31" s="348"/>
      <c r="S31" s="348"/>
      <c r="T31" s="348"/>
      <c r="U31" s="348"/>
      <c r="V31" s="348"/>
      <c r="W31" s="348"/>
      <c r="X31" s="348"/>
      <c r="Y31" s="348"/>
      <c r="Z31" s="348"/>
      <c r="AA31" s="348"/>
    </row>
    <row r="32" spans="1:27" x14ac:dyDescent="0.2">
      <c r="J32" s="348"/>
      <c r="K32" s="350"/>
      <c r="L32" s="350">
        <f>IF(L23=1,L27,IF(L23=2,L28,IF(L23=3,L29,"ERROR")))</f>
        <v>1.8050579653677803E-2</v>
      </c>
      <c r="M32" s="350"/>
      <c r="N32" s="348"/>
      <c r="O32" s="348"/>
      <c r="P32" s="348"/>
      <c r="Q32" s="348"/>
      <c r="R32" s="348"/>
      <c r="S32" s="348"/>
      <c r="T32" s="348"/>
      <c r="U32" s="348"/>
      <c r="V32" s="348"/>
      <c r="W32" s="348"/>
      <c r="X32" s="348"/>
      <c r="Y32" s="348"/>
      <c r="Z32" s="348"/>
      <c r="AA32" s="348"/>
    </row>
    <row r="33" spans="10:27" x14ac:dyDescent="0.2">
      <c r="J33" s="348"/>
      <c r="K33" s="350"/>
      <c r="L33" s="350"/>
      <c r="M33" s="350"/>
      <c r="N33" s="348"/>
      <c r="O33" s="348"/>
      <c r="P33" s="348"/>
      <c r="Q33" s="348"/>
      <c r="R33" s="348"/>
      <c r="S33" s="348"/>
      <c r="T33" s="348"/>
      <c r="U33" s="348"/>
      <c r="V33" s="348"/>
      <c r="W33" s="348"/>
      <c r="X33" s="348"/>
      <c r="Y33" s="348"/>
      <c r="Z33" s="348"/>
      <c r="AA33" s="348"/>
    </row>
    <row r="34" spans="10:27" x14ac:dyDescent="0.2">
      <c r="J34" s="348"/>
      <c r="K34" s="350"/>
      <c r="L34" s="350"/>
      <c r="M34" s="350"/>
      <c r="N34" s="348"/>
      <c r="O34" s="348"/>
      <c r="P34" s="348"/>
      <c r="Q34" s="348"/>
      <c r="R34" s="348"/>
      <c r="S34" s="348"/>
      <c r="T34" s="348"/>
      <c r="U34" s="348"/>
      <c r="V34" s="348"/>
      <c r="W34" s="348"/>
      <c r="X34" s="348"/>
      <c r="Y34" s="348"/>
      <c r="Z34" s="348"/>
      <c r="AA34" s="348"/>
    </row>
    <row r="35" spans="10:27" x14ac:dyDescent="0.2">
      <c r="J35" s="348"/>
      <c r="K35" s="350"/>
      <c r="L35" s="350"/>
      <c r="M35" s="350"/>
      <c r="N35" s="348"/>
      <c r="O35" s="348"/>
      <c r="P35" s="348"/>
      <c r="Q35" s="348"/>
      <c r="R35" s="348"/>
      <c r="S35" s="348"/>
      <c r="T35" s="348"/>
      <c r="U35" s="348"/>
      <c r="V35" s="348"/>
      <c r="W35" s="348"/>
      <c r="X35" s="348"/>
      <c r="Y35" s="348"/>
      <c r="Z35" s="348"/>
      <c r="AA35" s="348"/>
    </row>
    <row r="36" spans="10:27" x14ac:dyDescent="0.2">
      <c r="J36" s="348"/>
      <c r="K36" s="350"/>
      <c r="L36" s="350"/>
      <c r="M36" s="350"/>
      <c r="N36" s="348"/>
      <c r="O36" s="348"/>
      <c r="P36" s="348"/>
      <c r="Q36" s="348"/>
      <c r="R36" s="348"/>
      <c r="S36" s="348"/>
      <c r="T36" s="348"/>
      <c r="U36" s="348"/>
      <c r="V36" s="348"/>
      <c r="W36" s="348"/>
      <c r="X36" s="348"/>
      <c r="Y36" s="348"/>
      <c r="Z36" s="348"/>
      <c r="AA36" s="348"/>
    </row>
  </sheetData>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1</xdr:col>
                    <xdr:colOff>9525</xdr:colOff>
                    <xdr:row>25</xdr:row>
                    <xdr:rowOff>9525</xdr:rowOff>
                  </from>
                  <to>
                    <xdr:col>1</xdr:col>
                    <xdr:colOff>657225</xdr:colOff>
                    <xdr:row>26</xdr:row>
                    <xdr:rowOff>47625</xdr:rowOff>
                  </to>
                </anchor>
              </controlPr>
            </control>
          </mc:Choice>
        </mc:AlternateContent>
      </controls>
    </mc:Choice>
  </mc:AlternateConten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19"/>
  <sheetViews>
    <sheetView workbookViewId="0">
      <selection activeCell="C51" sqref="C51:C56"/>
    </sheetView>
  </sheetViews>
  <sheetFormatPr defaultColWidth="22" defaultRowHeight="12.75" x14ac:dyDescent="0.2"/>
  <cols>
    <col min="1" max="1" width="40.42578125" style="103" bestFit="1" customWidth="1"/>
    <col min="2" max="2" width="9.140625" style="5" bestFit="1" customWidth="1"/>
    <col min="3" max="3" width="15" style="5" bestFit="1" customWidth="1"/>
    <col min="4" max="4" width="9.140625" style="5" bestFit="1" customWidth="1"/>
    <col min="5" max="5" width="15" style="5" bestFit="1" customWidth="1"/>
    <col min="6" max="6" width="9.140625" style="5" bestFit="1" customWidth="1"/>
    <col min="7" max="7" width="15" style="5" bestFit="1" customWidth="1"/>
    <col min="8" max="8" width="9.140625" style="5" bestFit="1" customWidth="1"/>
    <col min="9" max="9" width="15" style="5" bestFit="1" customWidth="1"/>
    <col min="10" max="10" width="33.7109375" style="111" customWidth="1"/>
    <col min="11" max="16384" width="22" style="5"/>
  </cols>
  <sheetData>
    <row r="1" spans="1:10" x14ac:dyDescent="0.2">
      <c r="A1" s="101"/>
      <c r="B1" s="1376" t="s">
        <v>269</v>
      </c>
      <c r="C1" s="1377"/>
      <c r="D1" s="1378" t="s">
        <v>806</v>
      </c>
      <c r="E1" s="1378"/>
      <c r="F1" s="1378" t="s">
        <v>270</v>
      </c>
      <c r="G1" s="1378"/>
      <c r="H1" s="1378" t="s">
        <v>807</v>
      </c>
      <c r="I1" s="1378"/>
      <c r="J1" s="104"/>
    </row>
    <row r="2" spans="1:10" x14ac:dyDescent="0.2">
      <c r="A2" s="105" t="s">
        <v>247</v>
      </c>
      <c r="B2" s="106" t="s">
        <v>350</v>
      </c>
      <c r="C2" s="106" t="s">
        <v>775</v>
      </c>
      <c r="D2" s="106" t="s">
        <v>350</v>
      </c>
      <c r="E2" s="106" t="s">
        <v>775</v>
      </c>
      <c r="F2" s="106" t="s">
        <v>350</v>
      </c>
      <c r="G2" s="106" t="s">
        <v>775</v>
      </c>
      <c r="H2" s="106" t="s">
        <v>350</v>
      </c>
      <c r="I2" s="106" t="s">
        <v>775</v>
      </c>
      <c r="J2" s="117" t="s">
        <v>757</v>
      </c>
    </row>
    <row r="3" spans="1:10" x14ac:dyDescent="0.2">
      <c r="A3" s="107" t="s">
        <v>758</v>
      </c>
      <c r="B3" s="108">
        <v>0</v>
      </c>
      <c r="C3" s="109">
        <v>0</v>
      </c>
      <c r="D3" s="102">
        <f>('Resultados_Composição CT'!G30+'Resultados_Composição CT'!G33+'Resultados_Composição CT'!G38+'Resultados_Composição CT'!G42+'Resultados_Composição CT'!G46)*100</f>
        <v>0</v>
      </c>
      <c r="E3" s="109">
        <v>0.17</v>
      </c>
      <c r="F3" s="102">
        <f>D3</f>
        <v>0</v>
      </c>
      <c r="G3" s="109">
        <v>0.22</v>
      </c>
      <c r="H3" s="102">
        <f>D3</f>
        <v>0</v>
      </c>
      <c r="I3" s="109">
        <v>0.25</v>
      </c>
      <c r="J3" s="116" t="s">
        <v>798</v>
      </c>
    </row>
    <row r="4" spans="1:10" x14ac:dyDescent="0.2">
      <c r="A4" s="110" t="s">
        <v>759</v>
      </c>
      <c r="B4" s="108">
        <v>0</v>
      </c>
      <c r="C4" s="109">
        <v>0</v>
      </c>
      <c r="D4" s="102">
        <f>('Resultados_Composição CT'!G31+'Resultados_Composição CT'!G40+'Resultados_Composição CT'!G45+'Resultados_Composição CT'!G47+'Resultados_Composição CT'!G26)*100</f>
        <v>0</v>
      </c>
      <c r="E4" s="109">
        <v>0.1</v>
      </c>
      <c r="F4" s="102">
        <f t="shared" ref="F4:F19" si="0">D4</f>
        <v>0</v>
      </c>
      <c r="G4" s="109">
        <v>0.15</v>
      </c>
      <c r="H4" s="102">
        <f t="shared" ref="H4:H19" si="1">D4</f>
        <v>0</v>
      </c>
      <c r="I4" s="109">
        <v>0.25</v>
      </c>
      <c r="J4" s="115" t="s">
        <v>799</v>
      </c>
    </row>
    <row r="5" spans="1:10" ht="38.25" x14ac:dyDescent="0.2">
      <c r="A5" s="118" t="s">
        <v>760</v>
      </c>
      <c r="B5" s="108">
        <v>0</v>
      </c>
      <c r="C5" s="109">
        <v>0</v>
      </c>
      <c r="D5" s="102">
        <f>('Resultados_Composição CT'!G18+'Resultados_Composição CT'!G29+'Resultados_Composição CT'!G37+'Resultados_Composição CT'!G23+'Resultados_Composição CT'!G24+'Resultados_Composição CT'!G25+'Resultados_Composição CT'!G26+'Resultados_Composição CT'!G30+'Resultados_Composição CT'!G31+'Resultados_Composição CT'!G38+'Resultados_Composição CT'!G39+'Resultados_Composição CT'!G40+'Resultados_Composição CT'!G45+'Resultados_Composição CT'!G46+'Resultados_Composição CT'!G32+'Resultados_Composição CT'!G41+'Resultados_Composição CT'!G47+'Resultados_Composição CT'!G9)*100</f>
        <v>0</v>
      </c>
      <c r="E5" s="109">
        <v>0.04</v>
      </c>
      <c r="F5" s="102">
        <f t="shared" si="0"/>
        <v>0</v>
      </c>
      <c r="G5" s="109">
        <v>0.06</v>
      </c>
      <c r="H5" s="102">
        <f t="shared" si="1"/>
        <v>0</v>
      </c>
      <c r="I5" s="109">
        <v>0.1</v>
      </c>
      <c r="J5" s="115" t="s">
        <v>809</v>
      </c>
    </row>
    <row r="6" spans="1:10" x14ac:dyDescent="0.2">
      <c r="A6" s="110" t="s">
        <v>761</v>
      </c>
      <c r="B6" s="108">
        <v>0</v>
      </c>
      <c r="C6" s="109">
        <v>0</v>
      </c>
      <c r="D6" s="102">
        <f>('Resultados_Composição CT'!G30+'Resultados_Composição CT'!G33+'Resultados_Composição CT'!G38+'Resultados_Composição CT'!G42+'Resultados_Composição CT'!G46)*100</f>
        <v>0</v>
      </c>
      <c r="E6" s="109">
        <v>0.04</v>
      </c>
      <c r="F6" s="102">
        <f t="shared" si="0"/>
        <v>0</v>
      </c>
      <c r="G6" s="109">
        <v>7.0000000000000007E-2</v>
      </c>
      <c r="H6" s="102">
        <f t="shared" si="1"/>
        <v>0</v>
      </c>
      <c r="I6" s="109">
        <v>0.11</v>
      </c>
      <c r="J6" s="116" t="s">
        <v>798</v>
      </c>
    </row>
    <row r="7" spans="1:10" x14ac:dyDescent="0.2">
      <c r="A7" s="110" t="s">
        <v>762</v>
      </c>
      <c r="B7" s="108">
        <v>0</v>
      </c>
      <c r="C7" s="109">
        <v>0</v>
      </c>
      <c r="D7" s="102">
        <f>('Resultados_Composição CT'!G9+'Resultados_Composição CT'!G14+'Resultados_Composição CT'!G33+'Resultados_Composição CT'!G38)*100</f>
        <v>0</v>
      </c>
      <c r="E7" s="109">
        <v>2.247000000000002E-3</v>
      </c>
      <c r="F7" s="102">
        <f t="shared" si="0"/>
        <v>0</v>
      </c>
      <c r="G7" s="109">
        <v>6.9406093680000076E-3</v>
      </c>
      <c r="H7" s="102">
        <f>D7</f>
        <v>0</v>
      </c>
      <c r="I7" s="109">
        <v>7.4999999999999997E-3</v>
      </c>
      <c r="J7" s="115" t="s">
        <v>800</v>
      </c>
    </row>
    <row r="8" spans="1:10" x14ac:dyDescent="0.2">
      <c r="A8" s="110" t="s">
        <v>763</v>
      </c>
      <c r="B8" s="108">
        <v>0</v>
      </c>
      <c r="C8" s="109">
        <v>0</v>
      </c>
      <c r="D8" s="102">
        <v>100</v>
      </c>
      <c r="E8" s="109">
        <v>3.7142857142857144E-2</v>
      </c>
      <c r="F8" s="102">
        <f t="shared" si="0"/>
        <v>100</v>
      </c>
      <c r="G8" s="109">
        <v>5.5714285714285716E-2</v>
      </c>
      <c r="H8" s="102">
        <f t="shared" si="1"/>
        <v>100</v>
      </c>
      <c r="I8" s="109">
        <v>9.4600000000000004E-2</v>
      </c>
      <c r="J8" s="114" t="s">
        <v>801</v>
      </c>
    </row>
    <row r="9" spans="1:10" x14ac:dyDescent="0.2">
      <c r="A9" s="110" t="s">
        <v>764</v>
      </c>
      <c r="B9" s="108">
        <v>0</v>
      </c>
      <c r="C9" s="109">
        <v>0</v>
      </c>
      <c r="D9" s="102">
        <f>(1-(1/(1+('ANTP_1.1. Passageiros'!D10+0.5*'ANTP_1.1. Passageiros'!D9))/'ANTP_1.1. Passageiros'!D13))*100</f>
        <v>99.994971589480571</v>
      </c>
      <c r="E9" s="109">
        <v>1.7920000000000016E-2</v>
      </c>
      <c r="F9" s="102">
        <f t="shared" si="0"/>
        <v>99.994971589480571</v>
      </c>
      <c r="G9" s="109">
        <v>2.2400000000000021E-2</v>
      </c>
      <c r="H9" s="102">
        <f t="shared" si="1"/>
        <v>99.994971589480571</v>
      </c>
      <c r="I9" s="109">
        <v>3.1360000000000027E-2</v>
      </c>
      <c r="J9" s="114" t="s">
        <v>801</v>
      </c>
    </row>
    <row r="10" spans="1:10" x14ac:dyDescent="0.2">
      <c r="A10" s="110" t="s">
        <v>765</v>
      </c>
      <c r="B10" s="108">
        <v>0</v>
      </c>
      <c r="C10" s="109">
        <v>0</v>
      </c>
      <c r="D10" s="102">
        <f>('ANTP_1.1. Passageiros'!D59/'ANTP_1.1. Passageiros'!C54)*100</f>
        <v>0</v>
      </c>
      <c r="E10" s="109">
        <v>2.9960000000000032E-2</v>
      </c>
      <c r="F10" s="102">
        <f t="shared" si="0"/>
        <v>0</v>
      </c>
      <c r="G10" s="109">
        <v>4.8154400000000042E-2</v>
      </c>
      <c r="H10" s="102">
        <f t="shared" si="1"/>
        <v>0</v>
      </c>
      <c r="I10" s="109">
        <v>6.8896016000000088E-2</v>
      </c>
      <c r="J10" s="114" t="s">
        <v>801</v>
      </c>
    </row>
    <row r="11" spans="1:10" x14ac:dyDescent="0.2">
      <c r="A11" s="110" t="s">
        <v>766</v>
      </c>
      <c r="B11" s="108">
        <v>0</v>
      </c>
      <c r="C11" s="109">
        <v>0</v>
      </c>
      <c r="D11" s="102">
        <v>100</v>
      </c>
      <c r="E11" s="109">
        <v>8.0000000000000002E-3</v>
      </c>
      <c r="F11" s="102">
        <f t="shared" si="0"/>
        <v>100</v>
      </c>
      <c r="G11" s="109">
        <v>1.2E-2</v>
      </c>
      <c r="H11" s="102">
        <f t="shared" si="1"/>
        <v>100</v>
      </c>
      <c r="I11" s="109">
        <v>2.4E-2</v>
      </c>
      <c r="J11" s="114" t="s">
        <v>801</v>
      </c>
    </row>
    <row r="12" spans="1:10" x14ac:dyDescent="0.2">
      <c r="A12" s="110" t="s">
        <v>767</v>
      </c>
      <c r="B12" s="108">
        <v>0</v>
      </c>
      <c r="C12" s="109">
        <v>0</v>
      </c>
      <c r="D12" s="102">
        <f>('ANTP_2.1.c Insumos'!F101/'ANTP_4. Custo Total'!H3)*100</f>
        <v>0.93999999999999984</v>
      </c>
      <c r="E12" s="109">
        <v>5.8333333333333336E-3</v>
      </c>
      <c r="F12" s="102">
        <f t="shared" si="0"/>
        <v>0.93999999999999984</v>
      </c>
      <c r="G12" s="109">
        <v>3.5000000000000031E-2</v>
      </c>
      <c r="H12" s="102">
        <f t="shared" si="1"/>
        <v>0.93999999999999984</v>
      </c>
      <c r="I12" s="109">
        <v>7.4900000000000078E-2</v>
      </c>
      <c r="J12" s="114" t="s">
        <v>801</v>
      </c>
    </row>
    <row r="13" spans="1:10" x14ac:dyDescent="0.2">
      <c r="A13" s="110" t="s">
        <v>768</v>
      </c>
      <c r="B13" s="108">
        <v>0</v>
      </c>
      <c r="C13" s="109">
        <v>0</v>
      </c>
      <c r="D13" s="102">
        <v>100</v>
      </c>
      <c r="E13" s="109">
        <v>5.8333333333333336E-3</v>
      </c>
      <c r="F13" s="102">
        <f t="shared" si="0"/>
        <v>100</v>
      </c>
      <c r="G13" s="109">
        <v>3.5000000000000031E-2</v>
      </c>
      <c r="H13" s="102">
        <f t="shared" si="1"/>
        <v>100</v>
      </c>
      <c r="I13" s="109">
        <v>7.4900000000000078E-2</v>
      </c>
      <c r="J13" s="114" t="s">
        <v>801</v>
      </c>
    </row>
    <row r="14" spans="1:10" x14ac:dyDescent="0.2">
      <c r="A14" s="110" t="s">
        <v>769</v>
      </c>
      <c r="B14" s="108">
        <v>0</v>
      </c>
      <c r="C14" s="109">
        <v>0</v>
      </c>
      <c r="D14" s="102">
        <v>100</v>
      </c>
      <c r="E14" s="109">
        <v>5.0000000000000001E-3</v>
      </c>
      <c r="F14" s="102">
        <f t="shared" si="0"/>
        <v>100</v>
      </c>
      <c r="G14" s="109">
        <v>0.01</v>
      </c>
      <c r="H14" s="102">
        <f t="shared" si="1"/>
        <v>100</v>
      </c>
      <c r="I14" s="109">
        <v>1.2E-2</v>
      </c>
      <c r="J14" s="114" t="s">
        <v>801</v>
      </c>
    </row>
    <row r="15" spans="1:10" x14ac:dyDescent="0.2">
      <c r="A15" s="110" t="s">
        <v>770</v>
      </c>
      <c r="B15" s="108">
        <v>0</v>
      </c>
      <c r="C15" s="109">
        <v>0</v>
      </c>
      <c r="D15" s="102">
        <f>(SUM('Resultados_Composição CT'!G9:G14)+'Resultados_Composição CT'!G29+'Resultados_Composição CT'!G37)*100</f>
        <v>0</v>
      </c>
      <c r="E15" s="109">
        <v>5.0000000000000001E-3</v>
      </c>
      <c r="F15" s="102">
        <f t="shared" si="0"/>
        <v>0</v>
      </c>
      <c r="G15" s="109">
        <v>7.4999999999999997E-3</v>
      </c>
      <c r="H15" s="102">
        <f t="shared" si="1"/>
        <v>0</v>
      </c>
      <c r="I15" s="109">
        <v>0.01</v>
      </c>
      <c r="J15" s="115" t="s">
        <v>805</v>
      </c>
    </row>
    <row r="16" spans="1:10" x14ac:dyDescent="0.2">
      <c r="A16" s="110" t="s">
        <v>771</v>
      </c>
      <c r="B16" s="108">
        <v>0</v>
      </c>
      <c r="C16" s="109">
        <v>0</v>
      </c>
      <c r="D16" s="102">
        <f>('Resultados_Composição CT'!G29+'Resultados_Composição CT'!G31+'Resultados_Composição CT'!G37+'Resultados_Composição CT'!G40+'Resultados_Composição CT'!G45+'Resultados_Composição CT'!G33+'Resultados_Composição CT'!G42)*100</f>
        <v>0</v>
      </c>
      <c r="E16" s="109">
        <v>4.0000000000000001E-3</v>
      </c>
      <c r="F16" s="102">
        <f t="shared" si="0"/>
        <v>0</v>
      </c>
      <c r="G16" s="109">
        <v>8.0000000000000002E-3</v>
      </c>
      <c r="H16" s="102">
        <f t="shared" si="1"/>
        <v>0</v>
      </c>
      <c r="I16" s="109">
        <v>1.4999999999999999E-2</v>
      </c>
      <c r="J16" s="115" t="s">
        <v>803</v>
      </c>
    </row>
    <row r="17" spans="1:10" ht="15.75" customHeight="1" x14ac:dyDescent="0.2">
      <c r="A17" s="110" t="s">
        <v>772</v>
      </c>
      <c r="B17" s="108">
        <v>0</v>
      </c>
      <c r="C17" s="109">
        <v>0</v>
      </c>
      <c r="D17" s="102">
        <f>('Resultados_Composição CT'!G18+'Resultados_Composição CT'!G19)*100</f>
        <v>0</v>
      </c>
      <c r="E17" s="109">
        <v>3.6960000000000031E-3</v>
      </c>
      <c r="F17" s="102">
        <f t="shared" si="0"/>
        <v>0</v>
      </c>
      <c r="G17" s="109">
        <v>1.2712761600000011E-2</v>
      </c>
      <c r="H17" s="102">
        <f t="shared" si="1"/>
        <v>0</v>
      </c>
      <c r="I17" s="109">
        <v>2.64E-2</v>
      </c>
      <c r="J17" s="114" t="s">
        <v>804</v>
      </c>
    </row>
    <row r="18" spans="1:10" ht="12.75" customHeight="1" x14ac:dyDescent="0.2">
      <c r="A18" s="110" t="s">
        <v>773</v>
      </c>
      <c r="B18" s="108">
        <v>0</v>
      </c>
      <c r="C18" s="109">
        <v>0</v>
      </c>
      <c r="D18" s="102">
        <v>100</v>
      </c>
      <c r="E18" s="109">
        <v>1.3333333333333334E-2</v>
      </c>
      <c r="F18" s="102">
        <f t="shared" si="0"/>
        <v>100</v>
      </c>
      <c r="G18" s="109">
        <v>1.3333333333333334E-2</v>
      </c>
      <c r="H18" s="102">
        <f t="shared" si="1"/>
        <v>100</v>
      </c>
      <c r="I18" s="109">
        <v>1.3333333333333334E-2</v>
      </c>
      <c r="J18" s="114" t="s">
        <v>801</v>
      </c>
    </row>
    <row r="19" spans="1:10" ht="25.5" x14ac:dyDescent="0.2">
      <c r="A19" s="110" t="s">
        <v>774</v>
      </c>
      <c r="B19" s="108">
        <v>0</v>
      </c>
      <c r="C19" s="109">
        <v>0</v>
      </c>
      <c r="D19" s="102">
        <f>(SUM('Resultados_Composição CT'!G29:G33)+SUM('Resultados_Composição CT'!G37:G42))*100</f>
        <v>0</v>
      </c>
      <c r="E19" s="109">
        <v>1.6E-2</v>
      </c>
      <c r="F19" s="102">
        <f t="shared" si="0"/>
        <v>0</v>
      </c>
      <c r="G19" s="109">
        <v>0.02</v>
      </c>
      <c r="H19" s="102">
        <f t="shared" si="1"/>
        <v>0</v>
      </c>
      <c r="I19" s="109">
        <v>2.5000000000000001E-2</v>
      </c>
      <c r="J19" s="116" t="s">
        <v>810</v>
      </c>
    </row>
  </sheetData>
  <mergeCells count="4">
    <mergeCell ref="B1:C1"/>
    <mergeCell ref="D1:E1"/>
    <mergeCell ref="F1:G1"/>
    <mergeCell ref="H1:I1"/>
  </mergeCells>
  <pageMargins left="0.511811024" right="0.511811024" top="0.78740157499999996" bottom="0.78740157499999996" header="0.31496062000000002" footer="0.31496062000000002"/>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39997558519241921"/>
  </sheetPr>
  <dimension ref="B1:G51"/>
  <sheetViews>
    <sheetView view="pageBreakPreview" topLeftCell="A34" zoomScaleNormal="100" zoomScaleSheetLayoutView="100" workbookViewId="0">
      <selection activeCell="G48" sqref="G48"/>
    </sheetView>
  </sheetViews>
  <sheetFormatPr defaultRowHeight="12.75" x14ac:dyDescent="0.2"/>
  <cols>
    <col min="1" max="1" width="9.140625" customWidth="1"/>
    <col min="2" max="2" width="54.42578125" customWidth="1"/>
    <col min="3" max="3" width="16.28515625" bestFit="1" customWidth="1"/>
    <col min="4" max="4" width="13.28515625" bestFit="1" customWidth="1"/>
    <col min="7" max="7" width="13.28515625" bestFit="1" customWidth="1"/>
  </cols>
  <sheetData>
    <row r="1" spans="2:4" ht="15" x14ac:dyDescent="0.25">
      <c r="B1" s="560" t="s">
        <v>1182</v>
      </c>
    </row>
    <row r="5" spans="2:4" ht="15" x14ac:dyDescent="0.2">
      <c r="B5" s="259" t="s">
        <v>740</v>
      </c>
      <c r="C5" s="259"/>
    </row>
    <row r="7" spans="2:4" x14ac:dyDescent="0.2">
      <c r="B7" s="323" t="s">
        <v>412</v>
      </c>
      <c r="C7" s="324">
        <f>Ent_Geral!D117</f>
        <v>0</v>
      </c>
      <c r="D7" s="65"/>
    </row>
    <row r="8" spans="2:4" x14ac:dyDescent="0.2">
      <c r="B8" s="77"/>
      <c r="C8" s="327"/>
      <c r="D8" s="65"/>
    </row>
    <row r="9" spans="2:4" x14ac:dyDescent="0.2">
      <c r="B9" s="308" t="s">
        <v>402</v>
      </c>
      <c r="C9" s="324">
        <f>Ent_Geral!D119</f>
        <v>2520</v>
      </c>
      <c r="D9" s="65"/>
    </row>
    <row r="10" spans="2:4" x14ac:dyDescent="0.2">
      <c r="B10" s="307" t="s">
        <v>403</v>
      </c>
      <c r="C10" s="324">
        <f>Ent_Geral!D120</f>
        <v>1320</v>
      </c>
      <c r="D10" s="65"/>
    </row>
    <row r="11" spans="2:4" x14ac:dyDescent="0.2">
      <c r="B11" s="307" t="s">
        <v>404</v>
      </c>
      <c r="C11" s="324">
        <f>Ent_Geral!D121</f>
        <v>0</v>
      </c>
      <c r="D11" s="65"/>
    </row>
    <row r="12" spans="2:4" x14ac:dyDescent="0.2">
      <c r="B12" s="307" t="s">
        <v>405</v>
      </c>
      <c r="C12" s="324">
        <f>Ent_Geral!D122</f>
        <v>0</v>
      </c>
      <c r="D12" s="65"/>
    </row>
    <row r="13" spans="2:4" x14ac:dyDescent="0.2">
      <c r="B13" s="77"/>
      <c r="C13" s="327"/>
      <c r="D13" s="65"/>
    </row>
    <row r="14" spans="2:4" x14ac:dyDescent="0.2">
      <c r="B14" s="330" t="s">
        <v>398</v>
      </c>
      <c r="C14" s="331">
        <f>SUM(C9:C12)</f>
        <v>3840</v>
      </c>
      <c r="D14" s="65"/>
    </row>
    <row r="15" spans="2:4" x14ac:dyDescent="0.2">
      <c r="B15" s="332"/>
      <c r="C15" s="327"/>
      <c r="D15" s="65"/>
    </row>
    <row r="16" spans="2:4" x14ac:dyDescent="0.2">
      <c r="B16" s="77" t="s">
        <v>397</v>
      </c>
      <c r="C16" s="324">
        <f>Ent_Geral!D126</f>
        <v>0</v>
      </c>
      <c r="D16" s="65"/>
    </row>
    <row r="17" spans="2:7" x14ac:dyDescent="0.2">
      <c r="B17" s="77" t="s">
        <v>1069</v>
      </c>
      <c r="C17" s="324" t="e">
        <f>Ent_Geral!#REF!</f>
        <v>#REF!</v>
      </c>
      <c r="D17" s="65"/>
    </row>
    <row r="18" spans="2:7" x14ac:dyDescent="0.2">
      <c r="B18" s="77"/>
      <c r="C18" s="327"/>
      <c r="D18" s="65"/>
    </row>
    <row r="19" spans="2:7" x14ac:dyDescent="0.2">
      <c r="B19" s="307" t="s">
        <v>406</v>
      </c>
      <c r="C19" s="324">
        <f>Ent_Geral!D129</f>
        <v>5100</v>
      </c>
      <c r="D19" s="65"/>
    </row>
    <row r="20" spans="2:7" x14ac:dyDescent="0.2">
      <c r="B20" s="307" t="s">
        <v>407</v>
      </c>
      <c r="C20" s="324">
        <f>Ent_Geral!D130</f>
        <v>4440</v>
      </c>
      <c r="D20" s="65"/>
    </row>
    <row r="21" spans="2:7" x14ac:dyDescent="0.2">
      <c r="B21" s="307" t="s">
        <v>408</v>
      </c>
      <c r="C21" s="324">
        <f>Ent_Geral!D131</f>
        <v>0</v>
      </c>
      <c r="D21" s="65"/>
    </row>
    <row r="22" spans="2:7" x14ac:dyDescent="0.2">
      <c r="B22" s="77"/>
      <c r="C22" s="327"/>
      <c r="D22" s="65"/>
    </row>
    <row r="23" spans="2:7" x14ac:dyDescent="0.2">
      <c r="B23" s="330" t="s">
        <v>399</v>
      </c>
      <c r="C23" s="331">
        <f>SUM(C19:C21)</f>
        <v>9540</v>
      </c>
      <c r="D23" s="65"/>
    </row>
    <row r="24" spans="2:7" x14ac:dyDescent="0.2">
      <c r="B24" s="330"/>
      <c r="C24" s="327"/>
      <c r="D24" s="65"/>
    </row>
    <row r="25" spans="2:7" x14ac:dyDescent="0.2">
      <c r="B25" s="307" t="s">
        <v>409</v>
      </c>
      <c r="C25" s="324">
        <f>Ent_Geral!D135</f>
        <v>780</v>
      </c>
      <c r="D25" s="65"/>
    </row>
    <row r="26" spans="2:7" x14ac:dyDescent="0.2">
      <c r="B26" s="307" t="s">
        <v>410</v>
      </c>
      <c r="C26" s="324">
        <f>Ent_Geral!D136</f>
        <v>0</v>
      </c>
      <c r="D26" s="65"/>
    </row>
    <row r="27" spans="2:7" x14ac:dyDescent="0.2">
      <c r="B27" s="307" t="s">
        <v>411</v>
      </c>
      <c r="C27" s="324">
        <f>Ent_Geral!D137</f>
        <v>1440</v>
      </c>
      <c r="D27" s="65"/>
    </row>
    <row r="28" spans="2:7" x14ac:dyDescent="0.2">
      <c r="B28" s="333"/>
      <c r="C28" s="327"/>
      <c r="D28" s="65"/>
    </row>
    <row r="29" spans="2:7" x14ac:dyDescent="0.2">
      <c r="B29" s="330" t="s">
        <v>400</v>
      </c>
      <c r="C29" s="331">
        <f>SUM(C25:C27)</f>
        <v>2220</v>
      </c>
      <c r="D29" s="65"/>
    </row>
    <row r="30" spans="2:7" x14ac:dyDescent="0.2">
      <c r="B30" s="330"/>
      <c r="C30" s="327"/>
      <c r="D30" s="65"/>
    </row>
    <row r="31" spans="2:7" x14ac:dyDescent="0.2">
      <c r="B31" s="333" t="s">
        <v>413</v>
      </c>
      <c r="C31" s="324">
        <f>Ent_Geral!D141</f>
        <v>0</v>
      </c>
      <c r="D31" s="65"/>
    </row>
    <row r="32" spans="2:7" x14ac:dyDescent="0.2">
      <c r="B32" s="333" t="s">
        <v>414</v>
      </c>
      <c r="C32" s="324">
        <f>Ent_Geral!D142</f>
        <v>0</v>
      </c>
      <c r="D32" s="65"/>
      <c r="G32" s="334"/>
    </row>
    <row r="33" spans="2:7" x14ac:dyDescent="0.2">
      <c r="B33" s="333" t="s">
        <v>415</v>
      </c>
      <c r="C33" s="324">
        <f>Ent_Geral!D143</f>
        <v>1200</v>
      </c>
      <c r="D33" s="65"/>
      <c r="G33" s="334"/>
    </row>
    <row r="34" spans="2:7" x14ac:dyDescent="0.2">
      <c r="B34" s="333" t="s">
        <v>416</v>
      </c>
      <c r="C34" s="324">
        <f>Ent_Geral!D144</f>
        <v>0</v>
      </c>
      <c r="D34" s="65"/>
      <c r="G34" s="334"/>
    </row>
    <row r="35" spans="2:7" x14ac:dyDescent="0.2">
      <c r="B35" s="333" t="s">
        <v>417</v>
      </c>
      <c r="C35" s="324">
        <f>Ent_Geral!D145</f>
        <v>0</v>
      </c>
      <c r="D35" s="65"/>
      <c r="G35" s="334"/>
    </row>
    <row r="36" spans="2:7" x14ac:dyDescent="0.2">
      <c r="B36" s="333"/>
      <c r="C36" s="327"/>
      <c r="D36" s="65"/>
      <c r="G36" s="334"/>
    </row>
    <row r="37" spans="2:7" x14ac:dyDescent="0.2">
      <c r="B37" s="307" t="s">
        <v>418</v>
      </c>
      <c r="C37" s="324">
        <f>Ent_Geral!D147</f>
        <v>0</v>
      </c>
      <c r="D37" s="65"/>
      <c r="G37" s="334"/>
    </row>
    <row r="38" spans="2:7" x14ac:dyDescent="0.2">
      <c r="B38" s="307" t="s">
        <v>419</v>
      </c>
      <c r="C38" s="324">
        <f>Ent_Geral!D148</f>
        <v>0</v>
      </c>
      <c r="D38" s="65"/>
      <c r="G38" s="334"/>
    </row>
    <row r="39" spans="2:7" x14ac:dyDescent="0.2">
      <c r="B39" s="307" t="s">
        <v>420</v>
      </c>
      <c r="C39" s="324">
        <f>Ent_Geral!D149</f>
        <v>0</v>
      </c>
      <c r="D39" s="65"/>
      <c r="G39" s="334"/>
    </row>
    <row r="40" spans="2:7" x14ac:dyDescent="0.2">
      <c r="B40" s="307" t="s">
        <v>421</v>
      </c>
      <c r="C40" s="324">
        <f>Ent_Geral!D150</f>
        <v>0</v>
      </c>
      <c r="D40" s="65"/>
      <c r="G40" s="334"/>
    </row>
    <row r="41" spans="2:7" x14ac:dyDescent="0.2">
      <c r="B41" s="307" t="s">
        <v>422</v>
      </c>
      <c r="C41" s="324">
        <f>Ent_Geral!D151</f>
        <v>19200</v>
      </c>
      <c r="D41" s="65"/>
      <c r="G41" s="334"/>
    </row>
    <row r="42" spans="2:7" x14ac:dyDescent="0.2">
      <c r="B42" s="307" t="s">
        <v>423</v>
      </c>
      <c r="C42" s="324">
        <f>Ent_Geral!D152</f>
        <v>13200</v>
      </c>
      <c r="D42" s="65"/>
      <c r="G42" s="334"/>
    </row>
    <row r="43" spans="2:7" x14ac:dyDescent="0.2">
      <c r="B43" s="307" t="s">
        <v>424</v>
      </c>
      <c r="C43" s="324">
        <f>Ent_Geral!D153</f>
        <v>0</v>
      </c>
      <c r="D43" s="65"/>
      <c r="G43" s="334"/>
    </row>
    <row r="44" spans="2:7" x14ac:dyDescent="0.2">
      <c r="B44" s="307" t="s">
        <v>425</v>
      </c>
      <c r="C44" s="324">
        <f>Ent_Geral!D154</f>
        <v>0</v>
      </c>
      <c r="D44" s="65"/>
      <c r="G44" s="334"/>
    </row>
    <row r="45" spans="2:7" x14ac:dyDescent="0.2">
      <c r="B45" s="307" t="s">
        <v>426</v>
      </c>
      <c r="C45" s="324">
        <f>Ent_Geral!D155</f>
        <v>0</v>
      </c>
      <c r="D45" s="65"/>
      <c r="G45" s="334"/>
    </row>
    <row r="46" spans="2:7" x14ac:dyDescent="0.2">
      <c r="B46" s="333"/>
      <c r="C46" s="327"/>
      <c r="D46" s="65"/>
      <c r="G46" s="334"/>
    </row>
    <row r="47" spans="2:7" x14ac:dyDescent="0.2">
      <c r="B47" s="330" t="s">
        <v>401</v>
      </c>
      <c r="C47" s="331">
        <f>SUM(C37:C45)</f>
        <v>32400</v>
      </c>
      <c r="D47" s="65"/>
    </row>
    <row r="48" spans="2:7" x14ac:dyDescent="0.2">
      <c r="B48" s="77"/>
      <c r="C48" s="327" t="s">
        <v>428</v>
      </c>
      <c r="D48" s="65"/>
    </row>
    <row r="49" spans="2:7" x14ac:dyDescent="0.2">
      <c r="B49" s="333" t="s">
        <v>427</v>
      </c>
      <c r="C49" s="324">
        <f>Ent_Geral!D159</f>
        <v>0</v>
      </c>
      <c r="D49" s="65"/>
      <c r="G49" s="65"/>
    </row>
    <row r="50" spans="2:7" x14ac:dyDescent="0.2">
      <c r="C50" s="327" t="s">
        <v>428</v>
      </c>
      <c r="D50" s="65"/>
    </row>
    <row r="51" spans="2:7" x14ac:dyDescent="0.2">
      <c r="B51" s="335" t="s">
        <v>741</v>
      </c>
      <c r="C51" s="336" t="e">
        <f>C49+C47+SUM(C31:C35)+C29+C23+C14+C7+C16+C17</f>
        <v>#REF!</v>
      </c>
      <c r="D51" s="65"/>
    </row>
  </sheetData>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C7D9-561C-4085-9624-0D12E6EE5899}">
  <sheetPr>
    <tabColor theme="9"/>
    <pageSetUpPr fitToPage="1"/>
  </sheetPr>
  <dimension ref="A1:AB35"/>
  <sheetViews>
    <sheetView view="pageBreakPreview" zoomScale="85" zoomScaleNormal="85" zoomScaleSheetLayoutView="85" workbookViewId="0">
      <selection activeCell="S1" sqref="S1:AB1048576"/>
    </sheetView>
  </sheetViews>
  <sheetFormatPr defaultRowHeight="12.75" x14ac:dyDescent="0.2"/>
  <cols>
    <col min="1" max="1" width="35.140625" style="688" bestFit="1" customWidth="1"/>
    <col min="2" max="18" width="12.42578125" style="688" customWidth="1"/>
    <col min="19" max="28" width="11.140625" style="688" hidden="1" customWidth="1"/>
    <col min="29" max="16384" width="9.140625" style="688"/>
  </cols>
  <sheetData>
    <row r="1" spans="1:28" ht="15" x14ac:dyDescent="0.25">
      <c r="A1" s="701"/>
      <c r="B1" s="560" t="s">
        <v>1182</v>
      </c>
      <c r="C1" s="560"/>
      <c r="D1" s="701"/>
      <c r="E1" s="791"/>
      <c r="F1" s="701"/>
      <c r="G1" s="701"/>
      <c r="H1" s="701"/>
      <c r="I1" s="701"/>
      <c r="J1" s="701"/>
      <c r="K1" s="701"/>
      <c r="L1" s="701"/>
      <c r="M1" s="701"/>
      <c r="N1" s="701"/>
    </row>
    <row r="2" spans="1:28" x14ac:dyDescent="0.2">
      <c r="A2" s="701"/>
      <c r="B2" s="754"/>
      <c r="C2" s="754"/>
      <c r="D2" s="701"/>
      <c r="E2" s="701"/>
      <c r="F2" s="701"/>
      <c r="G2" s="701"/>
      <c r="H2" s="701"/>
      <c r="I2" s="701"/>
      <c r="J2" s="701"/>
      <c r="K2" s="701"/>
      <c r="L2" s="701"/>
      <c r="M2" s="701"/>
      <c r="N2" s="701"/>
    </row>
    <row r="3" spans="1:28" x14ac:dyDescent="0.2">
      <c r="A3" s="756" t="s">
        <v>360</v>
      </c>
      <c r="B3" s="756" t="s">
        <v>1074</v>
      </c>
      <c r="C3" s="975">
        <v>0</v>
      </c>
      <c r="D3" s="757">
        <f>FC_Premissas!D$5</f>
        <v>1</v>
      </c>
      <c r="E3" s="757">
        <f>FC_Premissas!E$5</f>
        <v>2</v>
      </c>
      <c r="F3" s="757">
        <f>FC_Premissas!F$5</f>
        <v>3</v>
      </c>
      <c r="G3" s="757">
        <f>FC_Premissas!G$5</f>
        <v>4</v>
      </c>
      <c r="H3" s="757">
        <f>FC_Premissas!H$5</f>
        <v>5</v>
      </c>
      <c r="I3" s="757">
        <f>FC_Premissas!I$5</f>
        <v>6</v>
      </c>
      <c r="J3" s="757">
        <f>FC_Premissas!J$5</f>
        <v>7</v>
      </c>
      <c r="K3" s="757">
        <f>FC_Premissas!K$5</f>
        <v>8</v>
      </c>
      <c r="L3" s="757">
        <f>FC_Premissas!L$5</f>
        <v>9</v>
      </c>
      <c r="M3" s="757">
        <f>FC_Premissas!M$5</f>
        <v>10</v>
      </c>
      <c r="N3" s="757">
        <f>FC_Premissas!N$5</f>
        <v>11</v>
      </c>
      <c r="O3" s="757">
        <f>FC_Premissas!O$5</f>
        <v>12</v>
      </c>
      <c r="P3" s="757">
        <f>FC_Premissas!P$5</f>
        <v>13</v>
      </c>
      <c r="Q3" s="757">
        <f>FC_Premissas!Q$5</f>
        <v>14</v>
      </c>
      <c r="R3" s="757">
        <f>FC_Premissas!R$5</f>
        <v>15</v>
      </c>
      <c r="S3" s="757">
        <f>FC_Premissas!S$5</f>
        <v>16</v>
      </c>
      <c r="T3" s="757">
        <f>FC_Premissas!T$5</f>
        <v>17</v>
      </c>
      <c r="U3" s="757">
        <f>FC_Premissas!U$5</f>
        <v>18</v>
      </c>
      <c r="V3" s="757">
        <f>FC_Premissas!V$5</f>
        <v>19</v>
      </c>
      <c r="W3" s="757">
        <f>FC_Premissas!W$5</f>
        <v>20</v>
      </c>
      <c r="X3" s="757">
        <f>FC_Premissas!X$5</f>
        <v>21</v>
      </c>
      <c r="Y3" s="757">
        <f>FC_Premissas!Y$5</f>
        <v>22</v>
      </c>
      <c r="Z3" s="757">
        <f>FC_Premissas!Z$5</f>
        <v>23</v>
      </c>
      <c r="AA3" s="757">
        <f>FC_Premissas!AA$5</f>
        <v>24</v>
      </c>
      <c r="AB3" s="757">
        <f>FC_Premissas!AB$5</f>
        <v>25</v>
      </c>
    </row>
    <row r="4" spans="1:28" x14ac:dyDescent="0.2">
      <c r="A4" s="792" t="s">
        <v>1295</v>
      </c>
      <c r="B4" s="793">
        <f t="shared" ref="B4" ca="1" si="0">SUM(D4:AB4)</f>
        <v>11639884.058844797</v>
      </c>
      <c r="C4" s="793"/>
      <c r="D4" s="791">
        <f ca="1">IF(D3&lt;=FC_Premissas!$C$4,FC_DRE!C43,0)</f>
        <v>794820.0039229868</v>
      </c>
      <c r="E4" s="791">
        <f ca="1">IF(E3&lt;=FC_Premissas!$C$4,FC_DRE!D43,0)</f>
        <v>794820.00392298715</v>
      </c>
      <c r="F4" s="791">
        <f ca="1">IF(F3&lt;=FC_Premissas!$C$4,FC_DRE!E43,0)</f>
        <v>772524.00392298657</v>
      </c>
      <c r="G4" s="791">
        <f ca="1">IF(G3&lt;=FC_Premissas!$C$4,FC_DRE!F43,0)</f>
        <v>772524.00392298645</v>
      </c>
      <c r="H4" s="791">
        <f ca="1">IF(H3&lt;=FC_Premissas!$C$4,FC_DRE!G43,0)</f>
        <v>765092.0039229868</v>
      </c>
      <c r="I4" s="791">
        <f ca="1">IF(I3&lt;=FC_Premissas!$C$4,FC_DRE!H43,0)</f>
        <v>794820.00392298657</v>
      </c>
      <c r="J4" s="791">
        <f ca="1">IF(J3&lt;=FC_Premissas!$C$4,FC_DRE!I43,0)</f>
        <v>750228.0039229868</v>
      </c>
      <c r="K4" s="791">
        <f ca="1">IF(K3&lt;=FC_Premissas!$C$4,FC_DRE!J43,0)</f>
        <v>802252.00392298633</v>
      </c>
      <c r="L4" s="791">
        <f ca="1">IF(L3&lt;=FC_Premissas!$C$4,FC_DRE!K43,0)</f>
        <v>779956.00392298715</v>
      </c>
      <c r="M4" s="791">
        <f ca="1">IF(M3&lt;=FC_Premissas!$C$4,FC_DRE!L43,0)</f>
        <v>757660.00392298703</v>
      </c>
      <c r="N4" s="791">
        <f ca="1">IF(N3&lt;=FC_Premissas!$C$4,FC_DRE!M43,0)</f>
        <v>772524.00392298633</v>
      </c>
      <c r="O4" s="791">
        <f ca="1">IF(O3&lt;=FC_Premissas!$C$4,FC_DRE!N43,0)</f>
        <v>772524.00392298657</v>
      </c>
      <c r="P4" s="791">
        <f ca="1">IF(P3&lt;=FC_Premissas!$C$4,FC_DRE!O43,0)</f>
        <v>735364.00392298633</v>
      </c>
      <c r="Q4" s="791">
        <f ca="1">IF(Q3&lt;=FC_Premissas!$C$4,FC_DRE!P43,0)</f>
        <v>817116.0039229868</v>
      </c>
      <c r="R4" s="791">
        <f ca="1">IF(R3&lt;=FC_Premissas!$C$4,FC_DRE!Q43,0)</f>
        <v>757660.00392298703</v>
      </c>
      <c r="S4" s="791">
        <f>IF(S3&lt;=FC_Premissas!$C$4,FC_DRE!R43,0)</f>
        <v>0</v>
      </c>
      <c r="T4" s="791">
        <f>IF(T3&lt;=FC_Premissas!$C$4,FC_DRE!S43,0)</f>
        <v>0</v>
      </c>
      <c r="U4" s="791">
        <f>IF(U3&lt;=FC_Premissas!$C$4,FC_DRE!T43,0)</f>
        <v>0</v>
      </c>
      <c r="V4" s="791">
        <f>IF(V3&lt;=FC_Premissas!$C$4,FC_DRE!U43,0)</f>
        <v>0</v>
      </c>
      <c r="W4" s="791">
        <f>IF(W3&lt;=FC_Premissas!$C$4,FC_DRE!V43,0)</f>
        <v>0</v>
      </c>
      <c r="X4" s="791">
        <f>IF(X3&lt;=FC_Premissas!$C$4,FC_DRE!W43,0)</f>
        <v>0</v>
      </c>
      <c r="Y4" s="791">
        <f>IF(Y3&lt;=FC_Premissas!$C$4,FC_DRE!X43,0)</f>
        <v>0</v>
      </c>
      <c r="Z4" s="791">
        <f>IF(Z3&lt;=FC_Premissas!$C$4,FC_DRE!Y43,0)</f>
        <v>0</v>
      </c>
      <c r="AA4" s="791">
        <f>IF(AA3&lt;=FC_Premissas!$C$4,FC_DRE!Z43,0)</f>
        <v>0</v>
      </c>
      <c r="AB4" s="791">
        <f>IF(AB3&lt;=FC_Premissas!$C$4,FC_DRE!AA43,0)</f>
        <v>0</v>
      </c>
    </row>
    <row r="5" spans="1:28" x14ac:dyDescent="0.2">
      <c r="A5" s="705" t="s">
        <v>1296</v>
      </c>
      <c r="B5" s="793">
        <f ca="1">SUM(C5:AB5)</f>
        <v>-5883605.4477090901</v>
      </c>
      <c r="C5" s="791">
        <f ca="1">FC_CAPEX!D23</f>
        <v>-2889089.2014545458</v>
      </c>
      <c r="D5" s="791">
        <f ca="1">FC_CAPEX!E23</f>
        <v>0</v>
      </c>
      <c r="E5" s="791">
        <f ca="1">FC_CAPEX!F23</f>
        <v>-538559.86909090891</v>
      </c>
      <c r="F5" s="791">
        <f ca="1">FC_CAPEX!G23</f>
        <v>0</v>
      </c>
      <c r="G5" s="791">
        <f ca="1">FC_CAPEX!H23</f>
        <v>-538559.86909090891</v>
      </c>
      <c r="H5" s="791">
        <f ca="1">FC_CAPEX!I23</f>
        <v>-505203.55636363628</v>
      </c>
      <c r="I5" s="791">
        <f ca="1">FC_CAPEX!J23</f>
        <v>-359039.91272727266</v>
      </c>
      <c r="J5" s="791">
        <f ca="1">FC_CAPEX!K23</f>
        <v>-359039.91272727266</v>
      </c>
      <c r="K5" s="791">
        <f ca="1">FC_CAPEX!L23</f>
        <v>-359039.91272727266</v>
      </c>
      <c r="L5" s="791">
        <f ca="1">FC_CAPEX!M23</f>
        <v>0</v>
      </c>
      <c r="M5" s="791">
        <f ca="1">FC_CAPEX!N23</f>
        <v>-953681.47909090878</v>
      </c>
      <c r="N5" s="791">
        <f ca="1">FC_CAPEX!O23</f>
        <v>-179519.95636363633</v>
      </c>
      <c r="O5" s="791">
        <f ca="1">FC_CAPEX!P23</f>
        <v>-179519.95636363633</v>
      </c>
      <c r="P5" s="791">
        <f ca="1">FC_CAPEX!Q23</f>
        <v>-718079.82545454532</v>
      </c>
      <c r="Q5" s="791">
        <f ca="1">FC_CAPEX!R23</f>
        <v>0</v>
      </c>
      <c r="R5" s="791">
        <f ca="1">FC_CAPEX!S23</f>
        <v>1695728.0037454551</v>
      </c>
      <c r="S5" s="791">
        <f ca="1">FC_CAPEX!T23</f>
        <v>0</v>
      </c>
      <c r="T5" s="791">
        <f ca="1">FC_CAPEX!U23</f>
        <v>0</v>
      </c>
      <c r="U5" s="791">
        <f ca="1">FC_CAPEX!V23</f>
        <v>0</v>
      </c>
      <c r="V5" s="791">
        <f ca="1">FC_CAPEX!W23</f>
        <v>0</v>
      </c>
      <c r="W5" s="791">
        <f ca="1">FC_CAPEX!X23</f>
        <v>0</v>
      </c>
      <c r="X5" s="791">
        <f ca="1">FC_CAPEX!Y23</f>
        <v>0</v>
      </c>
      <c r="Y5" s="791">
        <f ca="1">FC_CAPEX!Z23</f>
        <v>0</v>
      </c>
      <c r="Z5" s="791">
        <f ca="1">FC_CAPEX!AA23</f>
        <v>0</v>
      </c>
      <c r="AA5" s="791">
        <f ca="1">FC_CAPEX!AB23</f>
        <v>0</v>
      </c>
      <c r="AB5" s="791">
        <f ca="1">FC_CAPEX!AC23</f>
        <v>0</v>
      </c>
    </row>
    <row r="6" spans="1:28" x14ac:dyDescent="0.2">
      <c r="A6" s="705" t="s">
        <v>1297</v>
      </c>
      <c r="B6" s="793">
        <f ca="1">SUM(C6:AB6)</f>
        <v>-1597134.7277861419</v>
      </c>
      <c r="C6" s="793"/>
      <c r="D6" s="791">
        <f ca="1">IF(D3&lt;=FC_Premissas!$C$4,-FC_DRE!C46,0)</f>
        <v>-82765.59717168221</v>
      </c>
      <c r="E6" s="791">
        <f ca="1">IF(E3&lt;=FC_Premissas!$C$4,-FC_DRE!D46,0)</f>
        <v>-127525.90629168233</v>
      </c>
      <c r="F6" s="791">
        <f ca="1">IF(F3&lt;=FC_Premissas!$C$4,-FC_DRE!E46,0)</f>
        <v>-87392.314204409398</v>
      </c>
      <c r="G6" s="791">
        <f ca="1">IF(G3&lt;=FC_Premissas!$C$4,-FC_DRE!F46,0)</f>
        <v>-128083.50431350025</v>
      </c>
      <c r="H6" s="791">
        <f ca="1">IF(H3&lt;=FC_Premissas!$C$4,-FC_DRE!G46,0)</f>
        <v>-93003.672226227631</v>
      </c>
      <c r="I6" s="791">
        <f ca="1">IF(I3&lt;=FC_Premissas!$C$4,-FC_DRE!H46,0)</f>
        <v>-123456.78728077305</v>
      </c>
      <c r="J6" s="791">
        <f ca="1">IF(J3&lt;=FC_Premissas!$C$4,-FC_DRE!I46,0)</f>
        <v>-96088.150248045858</v>
      </c>
      <c r="K6" s="791">
        <f ca="1">IF(K3&lt;=FC_Premissas!$C$4,-FC_DRE!J46,0)</f>
        <v>-109707.19123713659</v>
      </c>
      <c r="L6" s="791">
        <f ca="1">IF(L3&lt;=FC_Premissas!$C$4,-FC_DRE!K46,0)</f>
        <v>-93988.313215318674</v>
      </c>
      <c r="M6" s="791">
        <f ca="1">IF(M3&lt;=FC_Premissas!$C$4,-FC_DRE!L46,0)</f>
        <v>-127098.86332440953</v>
      </c>
      <c r="N6" s="791">
        <f ca="1">IF(N3&lt;=FC_Premissas!$C$4,-FC_DRE!M46,0)</f>
        <v>-99599.671237136587</v>
      </c>
      <c r="O6" s="791">
        <f ca="1">IF(O3&lt;=FC_Premissas!$C$4,-FC_DRE!N46,0)</f>
        <v>-115876.14728077306</v>
      </c>
      <c r="P6" s="791">
        <f ca="1">IF(P3&lt;=FC_Premissas!$C$4,-FC_DRE!O46,0)</f>
        <v>-115449.10431350024</v>
      </c>
      <c r="Q6" s="791">
        <f ca="1">IF(Q3&lt;=FC_Premissas!$C$4,-FC_DRE!P46,0)</f>
        <v>-90346.237171682209</v>
      </c>
      <c r="R6" s="791">
        <f ca="1">IF(R3&lt;=FC_Premissas!$C$4,-FC_DRE!Q46,0)</f>
        <v>-106753.26826986409</v>
      </c>
      <c r="S6" s="791">
        <f>IF(S3&lt;=FC_Premissas!$C$4,-FC_DRE!R46,0)</f>
        <v>0</v>
      </c>
      <c r="T6" s="791">
        <f>IF(T3&lt;=FC_Premissas!$C$4,-FC_DRE!S46,0)</f>
        <v>0</v>
      </c>
      <c r="U6" s="791">
        <f>IF(U3&lt;=FC_Premissas!$C$4,-FC_DRE!T46,0)</f>
        <v>0</v>
      </c>
      <c r="V6" s="791">
        <f>IF(V3&lt;=FC_Premissas!$C$4,-FC_DRE!U46,0)</f>
        <v>0</v>
      </c>
      <c r="W6" s="791">
        <f>IF(W3&lt;=FC_Premissas!$C$4,-FC_DRE!V46,0)</f>
        <v>0</v>
      </c>
      <c r="X6" s="791">
        <f>IF(X3&lt;=FC_Premissas!$C$4,-FC_DRE!W46,0)</f>
        <v>0</v>
      </c>
      <c r="Y6" s="791">
        <f>IF(Y3&lt;=FC_Premissas!$C$4,-FC_DRE!X46,0)</f>
        <v>0</v>
      </c>
      <c r="Z6" s="791">
        <f>IF(Z3&lt;=FC_Premissas!$C$4,-FC_DRE!Y46,0)</f>
        <v>0</v>
      </c>
      <c r="AA6" s="791">
        <f>IF(AA3&lt;=FC_Premissas!$C$4,-FC_DRE!Z46,0)</f>
        <v>0</v>
      </c>
      <c r="AB6" s="791">
        <f>IF(AB3&lt;=FC_Premissas!$C$4,-FC_DRE!AA46,0)</f>
        <v>0</v>
      </c>
    </row>
    <row r="7" spans="1:28" ht="16.5" customHeight="1" x14ac:dyDescent="0.2">
      <c r="A7" s="794" t="s">
        <v>1298</v>
      </c>
      <c r="B7" s="795">
        <f ca="1">SUM(C7:AB7)</f>
        <v>4159143.883349569</v>
      </c>
      <c r="C7" s="796">
        <f ca="1">IF(C3&lt;=FC_Premissas!$C$4,+SUM(C4:C6),0)</f>
        <v>-2889089.2014545458</v>
      </c>
      <c r="D7" s="796">
        <f ca="1">IF(D3&lt;=FC_Premissas!$C$4,+SUM(D4:D6),0)</f>
        <v>712054.40675130463</v>
      </c>
      <c r="E7" s="796">
        <f ca="1">IF(E3&lt;=FC_Premissas!$C$4,+SUM(E4:E6),0)</f>
        <v>128734.22854039591</v>
      </c>
      <c r="F7" s="796">
        <f ca="1">IF(F3&lt;=FC_Premissas!$C$4,+SUM(F4:F6),0)</f>
        <v>685131.6897185772</v>
      </c>
      <c r="G7" s="796">
        <f ca="1">IF(G3&lt;=FC_Premissas!$C$4,+SUM(G4:G6),0)</f>
        <v>105880.63051857729</v>
      </c>
      <c r="H7" s="796">
        <f ca="1">IF(H3&lt;=FC_Premissas!$C$4,+SUM(H4:H6),0)</f>
        <v>166884.77533312287</v>
      </c>
      <c r="I7" s="796">
        <f ca="1">IF(I3&lt;=FC_Premissas!$C$4,+SUM(I4:I6),0)</f>
        <v>312323.30391494086</v>
      </c>
      <c r="J7" s="796">
        <f ca="1">IF(J3&lt;=FC_Premissas!$C$4,+SUM(J4:J6),0)</f>
        <v>295099.94094766828</v>
      </c>
      <c r="K7" s="796">
        <f ca="1">IF(K3&lt;=FC_Premissas!$C$4,+SUM(K4:K6),0)</f>
        <v>333504.89995857707</v>
      </c>
      <c r="L7" s="796">
        <f ca="1">IF(L3&lt;=FC_Premissas!$C$4,+SUM(L4:L6),0)</f>
        <v>685967.69070766843</v>
      </c>
      <c r="M7" s="796">
        <f ca="1">IF(M3&lt;=FC_Premissas!$C$4,+SUM(M4:M6),0)</f>
        <v>-323120.33849233127</v>
      </c>
      <c r="N7" s="796">
        <f ca="1">IF(N3&lt;=FC_Premissas!$C$4,+SUM(N4:N6),0)</f>
        <v>493404.37632221344</v>
      </c>
      <c r="O7" s="796">
        <f ca="1">IF(O3&lt;=FC_Premissas!$C$4,+SUM(O4:O6),0)</f>
        <v>477127.90027857723</v>
      </c>
      <c r="P7" s="796">
        <f ca="1">IF(P3&lt;=FC_Premissas!$C$4,+SUM(P4:P6),0)</f>
        <v>-98164.925845059232</v>
      </c>
      <c r="Q7" s="796">
        <f ca="1">IF(Q3&lt;=FC_Premissas!$C$4,+SUM(Q4:Q6),0)</f>
        <v>726769.76675130462</v>
      </c>
      <c r="R7" s="796">
        <f ca="1">IF(R3&lt;=FC_Premissas!$C$4,+SUM(R4:R6),0)</f>
        <v>2346634.7393985782</v>
      </c>
      <c r="S7" s="796">
        <f>IF(S3&lt;=FC_Premissas!$C$4,+SUM(S4:S6),0)</f>
        <v>0</v>
      </c>
      <c r="T7" s="796">
        <f>IF(T3&lt;=FC_Premissas!$C$4,+SUM(T4:T6),0)</f>
        <v>0</v>
      </c>
      <c r="U7" s="796">
        <f>IF(U3&lt;=FC_Premissas!$C$4,+SUM(U4:U6),0)</f>
        <v>0</v>
      </c>
      <c r="V7" s="796">
        <f>IF(V3&lt;=FC_Premissas!$C$4,+SUM(V4:V6),0)</f>
        <v>0</v>
      </c>
      <c r="W7" s="796">
        <f>IF(W3&lt;=FC_Premissas!$C$4,+SUM(W4:W6),0)</f>
        <v>0</v>
      </c>
      <c r="X7" s="796">
        <f>IF(X3&lt;=FC_Premissas!$C$4,+SUM(X4:X6),0)</f>
        <v>0</v>
      </c>
      <c r="Y7" s="796">
        <f>IF(Y3&lt;=FC_Premissas!$C$4,+SUM(Y4:Y6),0)</f>
        <v>0</v>
      </c>
      <c r="Z7" s="796">
        <f>IF(Z3&lt;=FC_Premissas!$C$4,+SUM(Z4:Z6),0)</f>
        <v>0</v>
      </c>
      <c r="AA7" s="796">
        <f>IF(AA3&lt;=FC_Premissas!$C$4,+SUM(AA4:AA6),0)</f>
        <v>0</v>
      </c>
      <c r="AB7" s="797">
        <f>IF(AB3&lt;=FC_Premissas!$C$4,+SUM(AB4:AB6),0)</f>
        <v>0</v>
      </c>
    </row>
    <row r="8" spans="1:28" x14ac:dyDescent="0.2">
      <c r="A8" s="705" t="s">
        <v>1299</v>
      </c>
      <c r="B8" s="793">
        <f>SUM(C8:AB8)</f>
        <v>0</v>
      </c>
      <c r="C8" s="793"/>
      <c r="D8" s="791"/>
      <c r="E8" s="791"/>
      <c r="F8" s="791"/>
      <c r="G8" s="791"/>
      <c r="H8" s="791"/>
      <c r="I8" s="791"/>
      <c r="J8" s="791"/>
      <c r="K8" s="791"/>
      <c r="L8" s="791"/>
      <c r="M8" s="791"/>
      <c r="N8" s="791"/>
      <c r="O8" s="791"/>
      <c r="P8" s="791"/>
      <c r="Q8" s="791"/>
      <c r="R8" s="791"/>
      <c r="S8" s="791"/>
      <c r="T8" s="791"/>
      <c r="U8" s="791"/>
      <c r="V8" s="791"/>
      <c r="W8" s="791"/>
      <c r="X8" s="791"/>
      <c r="Y8" s="791"/>
      <c r="Z8" s="791"/>
      <c r="AA8" s="791"/>
      <c r="AB8" s="791"/>
    </row>
    <row r="9" spans="1:28" x14ac:dyDescent="0.2">
      <c r="A9" s="705" t="s">
        <v>1300</v>
      </c>
      <c r="B9" s="793">
        <f t="shared" ref="B9:B11" si="1">SUM(C9:AB9)</f>
        <v>0</v>
      </c>
      <c r="C9" s="793"/>
      <c r="D9" s="791"/>
      <c r="E9" s="791"/>
      <c r="F9" s="791"/>
      <c r="G9" s="791"/>
      <c r="H9" s="791"/>
      <c r="I9" s="791"/>
      <c r="J9" s="791"/>
      <c r="K9" s="791"/>
      <c r="L9" s="791"/>
      <c r="M9" s="791"/>
      <c r="N9" s="791"/>
      <c r="O9" s="791"/>
      <c r="P9" s="791"/>
      <c r="Q9" s="791"/>
      <c r="R9" s="791"/>
      <c r="S9" s="791"/>
      <c r="T9" s="791"/>
      <c r="U9" s="791"/>
      <c r="V9" s="791"/>
      <c r="W9" s="791"/>
      <c r="X9" s="791"/>
      <c r="Y9" s="791"/>
      <c r="Z9" s="791"/>
      <c r="AA9" s="791"/>
      <c r="AB9" s="791"/>
    </row>
    <row r="10" spans="1:28" x14ac:dyDescent="0.2">
      <c r="A10" s="705" t="s">
        <v>1301</v>
      </c>
      <c r="B10" s="793">
        <f t="shared" si="1"/>
        <v>0</v>
      </c>
      <c r="C10" s="793"/>
      <c r="D10" s="791"/>
      <c r="E10" s="791"/>
      <c r="F10" s="791"/>
      <c r="G10" s="791"/>
      <c r="H10" s="791"/>
      <c r="I10" s="791"/>
      <c r="J10" s="791"/>
      <c r="K10" s="791"/>
      <c r="L10" s="791"/>
      <c r="M10" s="791"/>
      <c r="N10" s="791"/>
      <c r="O10" s="791"/>
      <c r="P10" s="791"/>
      <c r="Q10" s="791"/>
      <c r="R10" s="791"/>
      <c r="S10" s="791"/>
      <c r="T10" s="791"/>
      <c r="U10" s="791"/>
      <c r="V10" s="791"/>
      <c r="W10" s="791"/>
      <c r="X10" s="791"/>
      <c r="Y10" s="791"/>
      <c r="Z10" s="791"/>
      <c r="AA10" s="791"/>
      <c r="AB10" s="791"/>
    </row>
    <row r="11" spans="1:28" x14ac:dyDescent="0.2">
      <c r="A11" s="705" t="s">
        <v>1302</v>
      </c>
      <c r="B11" s="793">
        <f t="shared" si="1"/>
        <v>0</v>
      </c>
      <c r="C11" s="793"/>
      <c r="D11" s="791"/>
      <c r="E11" s="791"/>
      <c r="F11" s="791"/>
      <c r="G11" s="791"/>
      <c r="H11" s="791"/>
      <c r="I11" s="791"/>
      <c r="J11" s="791"/>
      <c r="K11" s="791"/>
      <c r="L11" s="791"/>
      <c r="M11" s="791"/>
      <c r="N11" s="791"/>
      <c r="O11" s="791"/>
      <c r="P11" s="791"/>
      <c r="Q11" s="791"/>
      <c r="R11" s="791"/>
      <c r="S11" s="791"/>
      <c r="T11" s="791"/>
      <c r="U11" s="791"/>
      <c r="V11" s="791"/>
      <c r="W11" s="791"/>
      <c r="X11" s="791"/>
      <c r="Y11" s="791"/>
      <c r="Z11" s="791"/>
      <c r="AA11" s="791"/>
      <c r="AB11" s="791"/>
    </row>
    <row r="12" spans="1:28" ht="16.5" customHeight="1" x14ac:dyDescent="0.2">
      <c r="A12" s="794" t="s">
        <v>1303</v>
      </c>
      <c r="B12" s="795">
        <f ca="1">SUM(C12:AB12)</f>
        <v>4159143.883349569</v>
      </c>
      <c r="C12" s="798">
        <f ca="1">IF(C3&lt;=FC_Premissas!$C$4,SUM(C7:C11),0)</f>
        <v>-2889089.2014545458</v>
      </c>
      <c r="D12" s="798">
        <f ca="1">IF(D3&lt;=FC_Premissas!$C$4,SUM(D7:D11),0)</f>
        <v>712054.40675130463</v>
      </c>
      <c r="E12" s="796">
        <f ca="1">IF(E3&lt;=FC_Premissas!$C$4,SUM(E7:E11),0)</f>
        <v>128734.22854039591</v>
      </c>
      <c r="F12" s="796">
        <f ca="1">IF(F3&lt;=FC_Premissas!$C$4,SUM(F7:F11),0)</f>
        <v>685131.6897185772</v>
      </c>
      <c r="G12" s="796">
        <f ca="1">IF(G3&lt;=FC_Premissas!$C$4,SUM(G7:G11),0)</f>
        <v>105880.63051857729</v>
      </c>
      <c r="H12" s="796">
        <f ca="1">IF(H3&lt;=FC_Premissas!$C$4,SUM(H7:H11),0)</f>
        <v>166884.77533312287</v>
      </c>
      <c r="I12" s="796">
        <f ca="1">IF(I3&lt;=FC_Premissas!$C$4,SUM(I7:I11),0)</f>
        <v>312323.30391494086</v>
      </c>
      <c r="J12" s="796">
        <f ca="1">IF(J3&lt;=FC_Premissas!$C$4,SUM(J7:J11),0)</f>
        <v>295099.94094766828</v>
      </c>
      <c r="K12" s="796">
        <f ca="1">IF(K3&lt;=FC_Premissas!$C$4,SUM(K7:K11),0)</f>
        <v>333504.89995857707</v>
      </c>
      <c r="L12" s="796">
        <f ca="1">IF(L3&lt;=FC_Premissas!$C$4,SUM(L7:L11),0)</f>
        <v>685967.69070766843</v>
      </c>
      <c r="M12" s="796">
        <f ca="1">IF(M3&lt;=FC_Premissas!$C$4,SUM(M7:M11),0)</f>
        <v>-323120.33849233127</v>
      </c>
      <c r="N12" s="796">
        <f ca="1">IF(N3&lt;=FC_Premissas!$C$4,SUM(N7:N11),0)</f>
        <v>493404.37632221344</v>
      </c>
      <c r="O12" s="796">
        <f ca="1">IF(O3&lt;=FC_Premissas!$C$4,SUM(O7:O11),0)</f>
        <v>477127.90027857723</v>
      </c>
      <c r="P12" s="796">
        <f ca="1">IF(P3&lt;=FC_Premissas!$C$4,SUM(P7:P11),0)</f>
        <v>-98164.925845059232</v>
      </c>
      <c r="Q12" s="796">
        <f ca="1">IF(Q3&lt;=FC_Premissas!$C$4,SUM(Q7:Q11),0)</f>
        <v>726769.76675130462</v>
      </c>
      <c r="R12" s="796">
        <f ca="1">IF(R3&lt;=FC_Premissas!$C$4,SUM(R7:R11),0)</f>
        <v>2346634.7393985782</v>
      </c>
      <c r="S12" s="796">
        <f>IF(S3&lt;=FC_Premissas!$C$4,SUM(S7:S11),0)</f>
        <v>0</v>
      </c>
      <c r="T12" s="796">
        <f>IF(T3&lt;=FC_Premissas!$C$4,SUM(T7:T11),0)</f>
        <v>0</v>
      </c>
      <c r="U12" s="796">
        <f>IF(U3&lt;=FC_Premissas!$C$4,SUM(U7:U11),0)</f>
        <v>0</v>
      </c>
      <c r="V12" s="796">
        <f>IF(V3&lt;=FC_Premissas!$C$4,SUM(V7:V11),0)</f>
        <v>0</v>
      </c>
      <c r="W12" s="796">
        <f>IF(W3&lt;=FC_Premissas!$C$4,SUM(W7:W11),0)</f>
        <v>0</v>
      </c>
      <c r="X12" s="796">
        <f>IF(X3&lt;=FC_Premissas!$C$4,SUM(X7:X11),0)</f>
        <v>0</v>
      </c>
      <c r="Y12" s="797">
        <f>IF(Y3&lt;=FC_Premissas!$C$4,SUM(Y7:Y11),0)</f>
        <v>0</v>
      </c>
      <c r="Z12" s="796">
        <f>IF(Z3&lt;=FC_Premissas!$C$4,SUM(Z7:Z11),0)</f>
        <v>0</v>
      </c>
      <c r="AA12" s="797">
        <f>IF(AA3&lt;=FC_Premissas!$C$4,SUM(AA7:AA11),0)</f>
        <v>0</v>
      </c>
      <c r="AB12" s="796">
        <f>IF(AB3&lt;=FC_Premissas!$C$4,SUM(AB7:AB11),0)</f>
        <v>0</v>
      </c>
    </row>
    <row r="13" spans="1:28" x14ac:dyDescent="0.2">
      <c r="A13" s="705" t="s">
        <v>1304</v>
      </c>
      <c r="B13" s="793"/>
      <c r="C13" s="791">
        <v>0</v>
      </c>
      <c r="D13" s="791">
        <f ca="1">IF(D3&lt;=FC_Premissas!$C$4,C14,0)</f>
        <v>-2889089.2014545458</v>
      </c>
      <c r="E13" s="791">
        <f ca="1">IF(E3&lt;=FC_Premissas!$C$4,D14,0)</f>
        <v>-2177034.7947032414</v>
      </c>
      <c r="F13" s="791">
        <f ca="1">IF(F3&lt;=FC_Premissas!$C$4,E14,0)</f>
        <v>-2048300.5661628456</v>
      </c>
      <c r="G13" s="791">
        <f ca="1">IF(G3&lt;=FC_Premissas!$C$4,F14,0)</f>
        <v>-1363168.8764442685</v>
      </c>
      <c r="H13" s="791">
        <f ca="1">IF(H3&lt;=FC_Premissas!$C$4,G14,0)</f>
        <v>-1257288.2459256912</v>
      </c>
      <c r="I13" s="791">
        <f ca="1">IF(I3&lt;=FC_Premissas!$C$4,H14,0)</f>
        <v>-1090403.4705925684</v>
      </c>
      <c r="J13" s="791">
        <f ca="1">IF(J3&lt;=FC_Premissas!$C$4,I14,0)</f>
        <v>-778080.16667762748</v>
      </c>
      <c r="K13" s="791">
        <f ca="1">IF(K3&lt;=FC_Premissas!$C$4,J14,0)</f>
        <v>-482980.2257299592</v>
      </c>
      <c r="L13" s="791">
        <f ca="1">IF(L3&lt;=FC_Premissas!$C$4,K14,0)</f>
        <v>-149475.32577138214</v>
      </c>
      <c r="M13" s="791">
        <f ca="1">IF(M3&lt;=FC_Premissas!$C$4,L14,0)</f>
        <v>536492.36493628635</v>
      </c>
      <c r="N13" s="791">
        <f ca="1">IF(N3&lt;=FC_Premissas!$C$4,M14,0)</f>
        <v>213372.02644395508</v>
      </c>
      <c r="O13" s="791">
        <f ca="1">IF(O3&lt;=FC_Premissas!$C$4,N14,0)</f>
        <v>706776.40276616858</v>
      </c>
      <c r="P13" s="791">
        <f ca="1">IF(P3&lt;=FC_Premissas!$C$4,O14,0)</f>
        <v>1183904.3030447457</v>
      </c>
      <c r="Q13" s="791">
        <f ca="1">IF(Q3&lt;=FC_Premissas!$C$4,P14,0)</f>
        <v>1085739.3771996864</v>
      </c>
      <c r="R13" s="791">
        <f ca="1">IF(R3&lt;=FC_Premissas!$C$4,Q14,0)</f>
        <v>1812509.1439509909</v>
      </c>
      <c r="S13" s="791">
        <f>IF(S3&lt;=FC_Premissas!$C$4,R14,0)</f>
        <v>0</v>
      </c>
      <c r="T13" s="791">
        <f>IF(T3&lt;=FC_Premissas!$C$4,S14,0)</f>
        <v>0</v>
      </c>
      <c r="U13" s="791">
        <f>IF(U3&lt;=FC_Premissas!$C$4,T14,0)</f>
        <v>0</v>
      </c>
      <c r="V13" s="791">
        <f>IF(V3&lt;=FC_Premissas!$C$4,U14,0)</f>
        <v>0</v>
      </c>
      <c r="W13" s="791">
        <f>IF(W3&lt;=FC_Premissas!$C$4,V14,0)</f>
        <v>0</v>
      </c>
      <c r="X13" s="791">
        <f>IF(X3&lt;=FC_Premissas!$C$4,W14,0)</f>
        <v>0</v>
      </c>
      <c r="Y13" s="791">
        <f>IF(Y3&lt;=FC_Premissas!$C$4,X14,0)</f>
        <v>0</v>
      </c>
      <c r="Z13" s="791">
        <f>IF(Z3&lt;=FC_Premissas!$C$4,Y14,0)</f>
        <v>0</v>
      </c>
      <c r="AA13" s="791">
        <f>IF(AA3&lt;=FC_Premissas!$C$4,Z14,0)</f>
        <v>0</v>
      </c>
      <c r="AB13" s="791">
        <f>IF(AB3&lt;=FC_Premissas!$C$4,AA14,0)</f>
        <v>0</v>
      </c>
    </row>
    <row r="14" spans="1:28" ht="16.5" customHeight="1" x14ac:dyDescent="0.2">
      <c r="A14" s="799" t="s">
        <v>1305</v>
      </c>
      <c r="B14" s="800"/>
      <c r="C14" s="801">
        <f t="shared" ref="C14:AB14" ca="1" si="2">C12+C13</f>
        <v>-2889089.2014545458</v>
      </c>
      <c r="D14" s="801">
        <f ca="1">D12+D13</f>
        <v>-2177034.7947032414</v>
      </c>
      <c r="E14" s="801">
        <f t="shared" ca="1" si="2"/>
        <v>-2048300.5661628456</v>
      </c>
      <c r="F14" s="801">
        <f t="shared" ca="1" si="2"/>
        <v>-1363168.8764442685</v>
      </c>
      <c r="G14" s="801">
        <f t="shared" ca="1" si="2"/>
        <v>-1257288.2459256912</v>
      </c>
      <c r="H14" s="801">
        <f t="shared" ca="1" si="2"/>
        <v>-1090403.4705925684</v>
      </c>
      <c r="I14" s="801">
        <f t="shared" ca="1" si="2"/>
        <v>-778080.16667762748</v>
      </c>
      <c r="J14" s="801">
        <f t="shared" ca="1" si="2"/>
        <v>-482980.2257299592</v>
      </c>
      <c r="K14" s="801">
        <f t="shared" ca="1" si="2"/>
        <v>-149475.32577138214</v>
      </c>
      <c r="L14" s="801">
        <f t="shared" ca="1" si="2"/>
        <v>536492.36493628635</v>
      </c>
      <c r="M14" s="801">
        <f t="shared" ca="1" si="2"/>
        <v>213372.02644395508</v>
      </c>
      <c r="N14" s="801">
        <f t="shared" ca="1" si="2"/>
        <v>706776.40276616858</v>
      </c>
      <c r="O14" s="801">
        <f t="shared" ca="1" si="2"/>
        <v>1183904.3030447457</v>
      </c>
      <c r="P14" s="801">
        <f t="shared" ca="1" si="2"/>
        <v>1085739.3771996864</v>
      </c>
      <c r="Q14" s="801">
        <f t="shared" ca="1" si="2"/>
        <v>1812509.1439509909</v>
      </c>
      <c r="R14" s="801">
        <f t="shared" ca="1" si="2"/>
        <v>4159143.883349569</v>
      </c>
      <c r="S14" s="801">
        <f t="shared" si="2"/>
        <v>0</v>
      </c>
      <c r="T14" s="801">
        <f t="shared" si="2"/>
        <v>0</v>
      </c>
      <c r="U14" s="801">
        <f t="shared" si="2"/>
        <v>0</v>
      </c>
      <c r="V14" s="801">
        <f t="shared" si="2"/>
        <v>0</v>
      </c>
      <c r="W14" s="801">
        <f t="shared" si="2"/>
        <v>0</v>
      </c>
      <c r="X14" s="801">
        <f t="shared" si="2"/>
        <v>0</v>
      </c>
      <c r="Y14" s="801">
        <f t="shared" si="2"/>
        <v>0</v>
      </c>
      <c r="Z14" s="801">
        <f t="shared" si="2"/>
        <v>0</v>
      </c>
      <c r="AA14" s="801">
        <f t="shared" si="2"/>
        <v>0</v>
      </c>
      <c r="AB14" s="801">
        <f t="shared" si="2"/>
        <v>0</v>
      </c>
    </row>
    <row r="15" spans="1:28" ht="12.75" customHeight="1" x14ac:dyDescent="0.2">
      <c r="D15" s="802"/>
      <c r="E15" s="802"/>
      <c r="F15" s="802"/>
      <c r="G15" s="802"/>
      <c r="H15" s="802"/>
      <c r="I15" s="802"/>
      <c r="J15" s="802"/>
      <c r="K15" s="802"/>
      <c r="L15" s="802"/>
      <c r="M15" s="802"/>
      <c r="N15" s="802"/>
      <c r="O15" s="802"/>
      <c r="P15" s="802"/>
      <c r="Q15" s="802"/>
      <c r="R15" s="802"/>
      <c r="S15" s="802"/>
      <c r="T15" s="802"/>
      <c r="U15" s="802"/>
      <c r="V15" s="802"/>
      <c r="W15" s="802"/>
      <c r="X15" s="802"/>
      <c r="Y15" s="802"/>
      <c r="Z15" s="802"/>
      <c r="AA15" s="802"/>
      <c r="AB15" s="802"/>
    </row>
    <row r="17" spans="1:28" x14ac:dyDescent="0.2">
      <c r="B17" s="803"/>
      <c r="C17" s="803"/>
      <c r="D17" s="804"/>
      <c r="E17" s="804"/>
      <c r="F17" s="804"/>
      <c r="G17" s="804"/>
      <c r="H17" s="804"/>
      <c r="I17" s="804"/>
      <c r="J17" s="804"/>
      <c r="K17" s="804"/>
      <c r="L17" s="804"/>
      <c r="M17" s="804"/>
      <c r="N17" s="804"/>
      <c r="O17" s="804"/>
      <c r="P17" s="804"/>
      <c r="Q17" s="804"/>
      <c r="R17" s="804"/>
      <c r="S17" s="804"/>
      <c r="T17" s="804"/>
      <c r="U17" s="804"/>
      <c r="V17" s="804"/>
      <c r="W17" s="804"/>
      <c r="X17" s="804"/>
      <c r="Y17" s="804"/>
      <c r="Z17" s="804"/>
      <c r="AA17" s="804"/>
      <c r="AB17" s="804"/>
    </row>
    <row r="18" spans="1:28" x14ac:dyDescent="0.2">
      <c r="B18" s="803"/>
      <c r="C18" s="803"/>
      <c r="D18" s="973"/>
      <c r="E18" s="973"/>
      <c r="F18" s="973"/>
      <c r="G18" s="973"/>
      <c r="H18" s="973"/>
      <c r="I18" s="973"/>
      <c r="J18" s="973"/>
      <c r="K18" s="973"/>
      <c r="L18" s="973"/>
      <c r="M18" s="973"/>
      <c r="N18" s="973"/>
      <c r="O18" s="973"/>
      <c r="P18" s="973"/>
      <c r="Q18" s="973"/>
      <c r="R18" s="973"/>
      <c r="S18" s="805"/>
      <c r="T18" s="805"/>
      <c r="U18" s="805"/>
      <c r="V18" s="805"/>
      <c r="W18" s="805"/>
      <c r="X18" s="805"/>
      <c r="Y18" s="805"/>
      <c r="Z18" s="805"/>
      <c r="AA18" s="805"/>
      <c r="AB18" s="805"/>
    </row>
    <row r="19" spans="1:28" x14ac:dyDescent="0.2">
      <c r="B19" s="802"/>
      <c r="C19" s="802"/>
      <c r="D19" s="802"/>
      <c r="E19" s="802"/>
      <c r="F19" s="802"/>
      <c r="G19" s="802"/>
      <c r="H19" s="802"/>
      <c r="I19" s="802"/>
      <c r="J19" s="802"/>
      <c r="K19" s="802"/>
      <c r="L19" s="802"/>
      <c r="M19" s="802"/>
      <c r="N19" s="802"/>
      <c r="O19" s="802"/>
      <c r="P19" s="802"/>
      <c r="Q19" s="802"/>
      <c r="R19" s="802"/>
    </row>
    <row r="20" spans="1:28" x14ac:dyDescent="0.2">
      <c r="A20" s="806"/>
      <c r="D20" s="802"/>
      <c r="E20" s="802"/>
      <c r="F20" s="802"/>
      <c r="G20" s="802"/>
      <c r="H20" s="802"/>
      <c r="I20" s="802"/>
      <c r="J20" s="802"/>
      <c r="K20" s="802"/>
      <c r="L20" s="802"/>
      <c r="M20" s="802"/>
      <c r="N20" s="802"/>
      <c r="O20" s="802"/>
      <c r="P20" s="802"/>
      <c r="Q20" s="802"/>
      <c r="R20" s="802"/>
    </row>
    <row r="21" spans="1:28" x14ac:dyDescent="0.2">
      <c r="B21" s="701"/>
      <c r="C21" s="701"/>
      <c r="D21" s="972"/>
      <c r="E21" s="972"/>
      <c r="F21" s="972"/>
      <c r="G21" s="972"/>
      <c r="H21" s="972"/>
      <c r="I21" s="972"/>
      <c r="J21" s="972"/>
      <c r="K21" s="972"/>
      <c r="L21" s="972"/>
      <c r="M21" s="972"/>
      <c r="N21" s="972"/>
      <c r="O21" s="972"/>
      <c r="P21" s="972"/>
      <c r="Q21" s="972"/>
      <c r="R21" s="972"/>
    </row>
    <row r="22" spans="1:28" x14ac:dyDescent="0.2">
      <c r="B22" s="701"/>
      <c r="C22" s="701"/>
      <c r="D22" s="791"/>
      <c r="F22" s="701"/>
      <c r="G22" s="791"/>
      <c r="I22" s="701"/>
      <c r="J22" s="791"/>
      <c r="L22" s="701"/>
      <c r="M22" s="791"/>
      <c r="O22" s="701"/>
      <c r="P22" s="791"/>
      <c r="R22" s="701"/>
    </row>
    <row r="23" spans="1:28" x14ac:dyDescent="0.2">
      <c r="B23" s="804"/>
      <c r="C23" s="804"/>
      <c r="D23" s="804"/>
      <c r="E23" s="804"/>
      <c r="F23" s="804"/>
      <c r="G23" s="804"/>
      <c r="H23" s="804"/>
      <c r="I23" s="804"/>
      <c r="J23" s="804"/>
      <c r="K23" s="804"/>
      <c r="L23" s="804"/>
      <c r="M23" s="804"/>
      <c r="N23" s="804"/>
      <c r="O23" s="804"/>
      <c r="P23" s="804"/>
      <c r="Q23" s="804"/>
      <c r="R23" s="804"/>
    </row>
    <row r="24" spans="1:28" x14ac:dyDescent="0.2">
      <c r="B24" s="804"/>
      <c r="C24" s="804"/>
      <c r="D24" s="804"/>
      <c r="E24" s="804"/>
      <c r="F24" s="804"/>
      <c r="G24" s="804"/>
      <c r="H24" s="804"/>
      <c r="I24" s="804"/>
      <c r="J24" s="804"/>
      <c r="K24" s="804"/>
      <c r="L24" s="804"/>
      <c r="M24" s="804"/>
      <c r="N24" s="804"/>
      <c r="O24" s="804"/>
      <c r="P24" s="804"/>
      <c r="Q24" s="804"/>
      <c r="R24" s="804"/>
    </row>
    <row r="26" spans="1:28" x14ac:dyDescent="0.2">
      <c r="B26" s="972"/>
      <c r="C26" s="972"/>
      <c r="D26" s="972"/>
      <c r="E26" s="972"/>
      <c r="F26" s="972"/>
      <c r="G26" s="972"/>
      <c r="H26" s="972"/>
      <c r="I26" s="972"/>
      <c r="J26" s="972"/>
      <c r="K26" s="972"/>
      <c r="L26" s="972"/>
      <c r="M26" s="972"/>
      <c r="N26" s="972"/>
      <c r="O26" s="972"/>
      <c r="P26" s="972"/>
      <c r="Q26" s="972"/>
      <c r="R26" s="972"/>
    </row>
    <row r="27" spans="1:28" x14ac:dyDescent="0.2">
      <c r="B27" s="972"/>
      <c r="C27" s="972"/>
      <c r="D27" s="972"/>
      <c r="E27" s="972"/>
      <c r="F27" s="972"/>
      <c r="G27" s="972"/>
      <c r="H27" s="972"/>
      <c r="I27" s="972"/>
      <c r="J27" s="972"/>
      <c r="K27" s="972"/>
      <c r="L27" s="972"/>
      <c r="M27" s="972"/>
      <c r="N27" s="972"/>
      <c r="O27" s="972"/>
      <c r="P27" s="972"/>
      <c r="Q27" s="972"/>
      <c r="R27" s="972"/>
    </row>
    <row r="31" spans="1:28" x14ac:dyDescent="0.2">
      <c r="B31" s="974"/>
      <c r="C31" s="974"/>
    </row>
    <row r="32" spans="1:28" x14ac:dyDescent="0.2">
      <c r="B32" s="974"/>
      <c r="C32" s="974"/>
    </row>
    <row r="33" spans="2:8" x14ac:dyDescent="0.2">
      <c r="B33" s="974"/>
      <c r="C33" s="974"/>
    </row>
    <row r="35" spans="2:8" x14ac:dyDescent="0.2">
      <c r="H35" s="688" t="s">
        <v>1265</v>
      </c>
    </row>
  </sheetData>
  <sheetProtection algorithmName="SHA-512" hashValue="8HYgVx8w/Rr4yTXZouL8XVqENJK+xJ9n50q/okw9+wcCW2mhf4IWkwE+9JRYuyFqwZOCOj5qTcE/1VF4hjpMDQ==" saltValue="Bj1Ute/4H5BbmYyZnhfxpA==" spinCount="100000" sheet="1" objects="1" scenarios="1"/>
  <conditionalFormatting sqref="C5:AB5">
    <cfRule type="cellIs" dxfId="24" priority="1" operator="lessThan">
      <formula>0</formula>
    </cfRule>
  </conditionalFormatting>
  <conditionalFormatting sqref="D4:AB4 D6:AB15 C7 C12:C14">
    <cfRule type="cellIs" dxfId="23" priority="2" operator="lessThan">
      <formula>0</formula>
    </cfRule>
  </conditionalFormatting>
  <pageMargins left="0.511811024" right="0.511811024" top="0.78740157499999996" bottom="0.78740157499999996" header="0.31496062000000002" footer="0.31496062000000002"/>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A789-E646-4F42-AE2A-7D8CADAA7E49}">
  <sheetPr>
    <tabColor theme="6" tint="0.39997558519241921"/>
    <pageSetUpPr fitToPage="1"/>
  </sheetPr>
  <dimension ref="A1:AC53"/>
  <sheetViews>
    <sheetView showGridLines="0" view="pageBreakPreview" zoomScale="85" zoomScaleNormal="100" zoomScaleSheetLayoutView="85" workbookViewId="0">
      <selection activeCell="S1" sqref="S1:AC1048576"/>
    </sheetView>
  </sheetViews>
  <sheetFormatPr defaultColWidth="8.85546875" defaultRowHeight="12.75" x14ac:dyDescent="0.2"/>
  <cols>
    <col min="1" max="1" width="2.28515625" style="705" customWidth="1"/>
    <col min="2" max="2" width="40.7109375" style="705" customWidth="1"/>
    <col min="3" max="4" width="10.28515625" style="704" customWidth="1"/>
    <col min="5" max="18" width="9.5703125" style="704" customWidth="1"/>
    <col min="19" max="23" width="9.5703125" style="704" hidden="1" customWidth="1"/>
    <col min="24" max="29" width="8.85546875" style="704" hidden="1" customWidth="1"/>
    <col min="30" max="16384" width="8.85546875" style="705"/>
  </cols>
  <sheetData>
    <row r="1" spans="2:29" ht="15" x14ac:dyDescent="0.25">
      <c r="B1" s="560" t="s">
        <v>1182</v>
      </c>
    </row>
    <row r="2" spans="2:29" x14ac:dyDescent="0.2">
      <c r="D2" s="962"/>
      <c r="E2" s="962"/>
      <c r="F2" s="962"/>
      <c r="G2" s="962"/>
      <c r="H2" s="962"/>
      <c r="I2" s="962"/>
      <c r="J2" s="962"/>
      <c r="K2" s="962"/>
      <c r="L2" s="962"/>
      <c r="M2" s="962"/>
      <c r="N2" s="962"/>
      <c r="O2" s="962"/>
      <c r="P2" s="962"/>
      <c r="Q2" s="962"/>
      <c r="R2" s="962"/>
    </row>
    <row r="3" spans="2:29" x14ac:dyDescent="0.2">
      <c r="B3" s="706" t="s">
        <v>1410</v>
      </c>
      <c r="C3" s="707"/>
      <c r="D3" s="707"/>
      <c r="E3" s="707"/>
      <c r="F3" s="707"/>
      <c r="G3" s="707"/>
      <c r="H3" s="708"/>
      <c r="I3" s="707"/>
      <c r="J3" s="709"/>
      <c r="K3" s="709"/>
      <c r="L3" s="710"/>
      <c r="M3" s="707"/>
      <c r="N3" s="707"/>
      <c r="O3" s="707"/>
      <c r="P3" s="707"/>
      <c r="Q3" s="707"/>
      <c r="R3" s="707"/>
      <c r="S3" s="707"/>
      <c r="T3" s="707"/>
      <c r="U3" s="707"/>
      <c r="V3" s="707"/>
      <c r="W3" s="707"/>
    </row>
    <row r="4" spans="2:29" x14ac:dyDescent="0.2">
      <c r="B4" s="711" t="s">
        <v>1236</v>
      </c>
      <c r="C4" s="712">
        <f>'Resultados_Tarifa e TIR'!B12</f>
        <v>15</v>
      </c>
      <c r="D4" s="707"/>
      <c r="E4" s="707"/>
      <c r="F4" s="707"/>
      <c r="G4" s="707"/>
      <c r="H4" s="707"/>
      <c r="I4" s="707"/>
      <c r="J4" s="707"/>
      <c r="K4" s="707"/>
      <c r="L4" s="713"/>
      <c r="M4" s="707"/>
      <c r="N4" s="707"/>
      <c r="O4" s="707"/>
      <c r="P4" s="707"/>
      <c r="Q4" s="707"/>
      <c r="R4" s="707"/>
      <c r="S4" s="707"/>
      <c r="T4" s="707"/>
      <c r="U4" s="707"/>
      <c r="V4" s="707"/>
      <c r="W4" s="707"/>
    </row>
    <row r="5" spans="2:29" x14ac:dyDescent="0.2">
      <c r="B5" s="714" t="s">
        <v>360</v>
      </c>
      <c r="C5" s="715" t="s">
        <v>1244</v>
      </c>
      <c r="D5" s="716">
        <v>1</v>
      </c>
      <c r="E5" s="716">
        <v>2</v>
      </c>
      <c r="F5" s="716">
        <v>3</v>
      </c>
      <c r="G5" s="716">
        <v>4</v>
      </c>
      <c r="H5" s="716">
        <v>5</v>
      </c>
      <c r="I5" s="716">
        <v>6</v>
      </c>
      <c r="J5" s="716">
        <v>7</v>
      </c>
      <c r="K5" s="716">
        <v>8</v>
      </c>
      <c r="L5" s="716">
        <v>9</v>
      </c>
      <c r="M5" s="716">
        <v>10</v>
      </c>
      <c r="N5" s="716">
        <v>11</v>
      </c>
      <c r="O5" s="716">
        <v>12</v>
      </c>
      <c r="P5" s="716">
        <v>13</v>
      </c>
      <c r="Q5" s="716">
        <v>14</v>
      </c>
      <c r="R5" s="716">
        <v>15</v>
      </c>
      <c r="S5" s="716">
        <v>16</v>
      </c>
      <c r="T5" s="716">
        <v>17</v>
      </c>
      <c r="U5" s="716">
        <v>18</v>
      </c>
      <c r="V5" s="716">
        <v>19</v>
      </c>
      <c r="W5" s="716">
        <v>20</v>
      </c>
      <c r="X5" s="716">
        <v>21</v>
      </c>
      <c r="Y5" s="716">
        <v>22</v>
      </c>
      <c r="Z5" s="716">
        <v>23</v>
      </c>
      <c r="AA5" s="716">
        <v>24</v>
      </c>
      <c r="AB5" s="716">
        <v>25</v>
      </c>
      <c r="AC5" s="716">
        <v>26</v>
      </c>
    </row>
    <row r="6" spans="2:29" s="720" customFormat="1" x14ac:dyDescent="0.2">
      <c r="B6" s="717" t="s">
        <v>1245</v>
      </c>
      <c r="C6" s="718" t="s">
        <v>1246</v>
      </c>
      <c r="D6" s="719">
        <v>238643</v>
      </c>
      <c r="E6" s="719">
        <v>292440</v>
      </c>
      <c r="F6" s="719">
        <v>346227</v>
      </c>
      <c r="G6" s="719">
        <v>375028</v>
      </c>
      <c r="H6" s="719">
        <v>383016</v>
      </c>
      <c r="I6" s="719">
        <v>390484</v>
      </c>
      <c r="J6" s="719">
        <v>398472</v>
      </c>
      <c r="K6" s="719">
        <v>405941</v>
      </c>
      <c r="L6" s="719">
        <v>413928</v>
      </c>
      <c r="M6" s="719">
        <v>421398</v>
      </c>
      <c r="N6" s="719">
        <v>429384</v>
      </c>
      <c r="O6" s="719">
        <v>436855</v>
      </c>
      <c r="P6" s="719">
        <v>444840</v>
      </c>
      <c r="Q6" s="719">
        <v>452312</v>
      </c>
      <c r="R6" s="719">
        <v>460297</v>
      </c>
      <c r="S6" s="719" t="str">
        <f>IF(S5&lt;=$C$4,'Resultados_Composição CT'!$F$70*12,"")</f>
        <v/>
      </c>
      <c r="T6" s="719" t="str">
        <f>IF(T5&lt;=$C$4,'Resultados_Composição CT'!$F$70*12,"")</f>
        <v/>
      </c>
      <c r="U6" s="719" t="str">
        <f>IF(U5&lt;=$C$4,'Resultados_Composição CT'!$F$70*12,"")</f>
        <v/>
      </c>
      <c r="V6" s="719" t="str">
        <f>IF(V5&lt;=$C$4,'Resultados_Composição CT'!$F$70*12,"")</f>
        <v/>
      </c>
      <c r="W6" s="719" t="str">
        <f>IF(W5&lt;=$C$4,'Resultados_Composição CT'!$F$70*12,"")</f>
        <v/>
      </c>
      <c r="X6" s="719" t="str">
        <f>IF(X5&lt;=$C$4,'Resultados_Composição CT'!$F$70*12,"")</f>
        <v/>
      </c>
      <c r="Y6" s="719" t="str">
        <f>IF(Y5&lt;=$C$4,'Resultados_Composição CT'!$F$70*12,"")</f>
        <v/>
      </c>
      <c r="Z6" s="719" t="str">
        <f>IF(Z5&lt;=$C$4,'Resultados_Composição CT'!$F$70*12,"")</f>
        <v/>
      </c>
      <c r="AA6" s="719" t="str">
        <f>IF(AA5&lt;=$C$4,'Resultados_Composição CT'!$F$70*12,"")</f>
        <v/>
      </c>
      <c r="AB6" s="719" t="str">
        <f>IF(AB5&lt;=$C$4,'Resultados_Composição CT'!$F$70*12,"")</f>
        <v/>
      </c>
      <c r="AC6" s="719" t="str">
        <f>IF(AC5&lt;=$C$4,'Resultados_Composição CT'!$F$70*12,"")</f>
        <v/>
      </c>
    </row>
    <row r="7" spans="2:29" s="720" customFormat="1" x14ac:dyDescent="0.2">
      <c r="B7" s="717" t="s">
        <v>1247</v>
      </c>
      <c r="C7" s="718" t="s">
        <v>24</v>
      </c>
      <c r="D7" s="721">
        <f>'Resultados_Composição CT'!$F$69*12</f>
        <v>618264</v>
      </c>
      <c r="E7" s="721">
        <f>IF(E5&lt;=$C$4,'Resultados_Composição CT'!$F$69*12,"")</f>
        <v>618264</v>
      </c>
      <c r="F7" s="721">
        <f>IF(F5&lt;=$C$4,'Resultados_Composição CT'!$F$69*12,"")</f>
        <v>618264</v>
      </c>
      <c r="G7" s="721">
        <f>IF(G5&lt;=$C$4,'Resultados_Composição CT'!$F$69*12,"")</f>
        <v>618264</v>
      </c>
      <c r="H7" s="721">
        <f>IF(H5&lt;=$C$4,'Resultados_Composição CT'!$F$69*12,"")</f>
        <v>618264</v>
      </c>
      <c r="I7" s="721">
        <f>IF(I5&lt;=$C$4,'Resultados_Composição CT'!$F$69*12,"")</f>
        <v>618264</v>
      </c>
      <c r="J7" s="721">
        <f>IF(J5&lt;=$C$4,'Resultados_Composição CT'!$F$69*12,"")</f>
        <v>618264</v>
      </c>
      <c r="K7" s="721">
        <f>IF(K5&lt;=$C$4,'Resultados_Composição CT'!$F$69*12,"")</f>
        <v>618264</v>
      </c>
      <c r="L7" s="721">
        <f>IF(L5&lt;=$C$4,'Resultados_Composição CT'!$F$69*12,"")</f>
        <v>618264</v>
      </c>
      <c r="M7" s="721">
        <f>IF(M5&lt;=$C$4,'Resultados_Composição CT'!$F$69*12,"")</f>
        <v>618264</v>
      </c>
      <c r="N7" s="721">
        <f>IF(N5&lt;=$C$4,'Resultados_Composição CT'!$F$69*12,"")</f>
        <v>618264</v>
      </c>
      <c r="O7" s="721">
        <f>IF(O5&lt;=$C$4,'Resultados_Composição CT'!$F$69*12,"")</f>
        <v>618264</v>
      </c>
      <c r="P7" s="721">
        <f>IF(P5&lt;=$C$4,'Resultados_Composição CT'!$F$69*12,"")</f>
        <v>618264</v>
      </c>
      <c r="Q7" s="721">
        <f>IF(Q5&lt;=$C$4,'Resultados_Composição CT'!$F$69*12,"")</f>
        <v>618264</v>
      </c>
      <c r="R7" s="721">
        <f>IF(R5&lt;=$C$4,'Resultados_Composição CT'!$F$69*12,"")</f>
        <v>618264</v>
      </c>
      <c r="S7" s="721" t="str">
        <f>IF(S5&lt;=$C$4,'Resultados_Composição CT'!$F$69*12,"")</f>
        <v/>
      </c>
      <c r="T7" s="721" t="str">
        <f>IF(T5&lt;=$C$4,'Resultados_Composição CT'!$F$69*12,"")</f>
        <v/>
      </c>
      <c r="U7" s="721" t="str">
        <f>IF(U5&lt;=$C$4,'Resultados_Composição CT'!$F$69*12,"")</f>
        <v/>
      </c>
      <c r="V7" s="721" t="str">
        <f>IF(V5&lt;=$C$4,'Resultados_Composição CT'!$F$69*12,"")</f>
        <v/>
      </c>
      <c r="W7" s="721" t="str">
        <f>IF(W5&lt;=$C$4,'Resultados_Composição CT'!$F$69*12,"")</f>
        <v/>
      </c>
      <c r="X7" s="721" t="str">
        <f>IF(X5&lt;=$C$4,'Resultados_Composição CT'!$F$69*12,"")</f>
        <v/>
      </c>
      <c r="Y7" s="721" t="str">
        <f>IF(Y5&lt;=$C$4,'Resultados_Composição CT'!$F$69*12,"")</f>
        <v/>
      </c>
      <c r="Z7" s="721" t="str">
        <f>IF(Z5&lt;=$C$4,'Resultados_Composição CT'!$F$69*12,"")</f>
        <v/>
      </c>
      <c r="AA7" s="721" t="str">
        <f>IF(AA5&lt;=$C$4,'Resultados_Composição CT'!$F$69*12,"")</f>
        <v/>
      </c>
      <c r="AB7" s="721" t="str">
        <f>IF(AB5&lt;=$C$4,'Resultados_Composição CT'!$F$69*12,"")</f>
        <v/>
      </c>
      <c r="AC7" s="721" t="str">
        <f>IF(AC5&lt;=$C$4,'Resultados_Composição CT'!$F$69*12,"")</f>
        <v/>
      </c>
    </row>
    <row r="8" spans="2:29" s="720" customFormat="1" x14ac:dyDescent="0.2">
      <c r="B8" s="717" t="s">
        <v>1248</v>
      </c>
      <c r="C8" s="718" t="s">
        <v>20</v>
      </c>
      <c r="D8" s="722">
        <f>'Resultados_Tarifa e TIR'!B3</f>
        <v>4</v>
      </c>
      <c r="E8" s="723">
        <f t="shared" ref="E8:AC8" si="0">IF(E5&lt;=$C$4,D8,"")</f>
        <v>4</v>
      </c>
      <c r="F8" s="723">
        <f t="shared" si="0"/>
        <v>4</v>
      </c>
      <c r="G8" s="723">
        <f t="shared" si="0"/>
        <v>4</v>
      </c>
      <c r="H8" s="723">
        <f t="shared" si="0"/>
        <v>4</v>
      </c>
      <c r="I8" s="723">
        <f t="shared" si="0"/>
        <v>4</v>
      </c>
      <c r="J8" s="723">
        <f t="shared" si="0"/>
        <v>4</v>
      </c>
      <c r="K8" s="723">
        <f t="shared" si="0"/>
        <v>4</v>
      </c>
      <c r="L8" s="723">
        <f t="shared" si="0"/>
        <v>4</v>
      </c>
      <c r="M8" s="723">
        <f t="shared" si="0"/>
        <v>4</v>
      </c>
      <c r="N8" s="723">
        <f t="shared" si="0"/>
        <v>4</v>
      </c>
      <c r="O8" s="723">
        <f t="shared" si="0"/>
        <v>4</v>
      </c>
      <c r="P8" s="723">
        <f t="shared" si="0"/>
        <v>4</v>
      </c>
      <c r="Q8" s="723">
        <f t="shared" si="0"/>
        <v>4</v>
      </c>
      <c r="R8" s="723">
        <f t="shared" si="0"/>
        <v>4</v>
      </c>
      <c r="S8" s="723" t="str">
        <f t="shared" si="0"/>
        <v/>
      </c>
      <c r="T8" s="723" t="str">
        <f t="shared" si="0"/>
        <v/>
      </c>
      <c r="U8" s="723" t="str">
        <f t="shared" si="0"/>
        <v/>
      </c>
      <c r="V8" s="723" t="str">
        <f t="shared" si="0"/>
        <v/>
      </c>
      <c r="W8" s="723" t="str">
        <f t="shared" si="0"/>
        <v/>
      </c>
      <c r="X8" s="723" t="str">
        <f t="shared" si="0"/>
        <v/>
      </c>
      <c r="Y8" s="723" t="str">
        <f t="shared" si="0"/>
        <v/>
      </c>
      <c r="Z8" s="723" t="str">
        <f t="shared" si="0"/>
        <v/>
      </c>
      <c r="AA8" s="723" t="str">
        <f t="shared" si="0"/>
        <v/>
      </c>
      <c r="AB8" s="723" t="str">
        <f t="shared" si="0"/>
        <v/>
      </c>
      <c r="AC8" s="723" t="str">
        <f t="shared" si="0"/>
        <v/>
      </c>
    </row>
    <row r="9" spans="2:29" s="720" customFormat="1" x14ac:dyDescent="0.2">
      <c r="B9" s="717" t="s">
        <v>1249</v>
      </c>
      <c r="C9" s="718" t="s">
        <v>1250</v>
      </c>
      <c r="D9" s="719">
        <f>D6*D8/1000</f>
        <v>954.572</v>
      </c>
      <c r="E9" s="721">
        <f t="shared" ref="E9:AC9" si="1">IF(E5&lt;=$C$4,E6*E8/1000,"")</f>
        <v>1169.76</v>
      </c>
      <c r="F9" s="721">
        <f t="shared" si="1"/>
        <v>1384.9079999999999</v>
      </c>
      <c r="G9" s="721">
        <f t="shared" si="1"/>
        <v>1500.1120000000001</v>
      </c>
      <c r="H9" s="721">
        <f t="shared" si="1"/>
        <v>1532.0640000000001</v>
      </c>
      <c r="I9" s="721">
        <f t="shared" si="1"/>
        <v>1561.9359999999999</v>
      </c>
      <c r="J9" s="721">
        <f t="shared" si="1"/>
        <v>1593.8879999999999</v>
      </c>
      <c r="K9" s="721">
        <f t="shared" si="1"/>
        <v>1623.7639999999999</v>
      </c>
      <c r="L9" s="721">
        <f t="shared" si="1"/>
        <v>1655.712</v>
      </c>
      <c r="M9" s="721">
        <f t="shared" si="1"/>
        <v>1685.5920000000001</v>
      </c>
      <c r="N9" s="721">
        <f t="shared" si="1"/>
        <v>1717.5360000000001</v>
      </c>
      <c r="O9" s="721">
        <f t="shared" si="1"/>
        <v>1747.42</v>
      </c>
      <c r="P9" s="721">
        <f t="shared" si="1"/>
        <v>1779.36</v>
      </c>
      <c r="Q9" s="721">
        <f t="shared" si="1"/>
        <v>1809.248</v>
      </c>
      <c r="R9" s="721">
        <f t="shared" si="1"/>
        <v>1841.1880000000001</v>
      </c>
      <c r="S9" s="721" t="str">
        <f t="shared" si="1"/>
        <v/>
      </c>
      <c r="T9" s="721" t="str">
        <f t="shared" si="1"/>
        <v/>
      </c>
      <c r="U9" s="721" t="str">
        <f t="shared" si="1"/>
        <v/>
      </c>
      <c r="V9" s="721" t="str">
        <f t="shared" si="1"/>
        <v/>
      </c>
      <c r="W9" s="721" t="str">
        <f t="shared" si="1"/>
        <v/>
      </c>
      <c r="X9" s="721" t="str">
        <f t="shared" si="1"/>
        <v/>
      </c>
      <c r="Y9" s="721" t="str">
        <f t="shared" si="1"/>
        <v/>
      </c>
      <c r="Z9" s="721" t="str">
        <f t="shared" si="1"/>
        <v/>
      </c>
      <c r="AA9" s="721" t="str">
        <f t="shared" si="1"/>
        <v/>
      </c>
      <c r="AB9" s="721" t="str">
        <f t="shared" si="1"/>
        <v/>
      </c>
      <c r="AC9" s="721" t="str">
        <f t="shared" si="1"/>
        <v/>
      </c>
    </row>
    <row r="10" spans="2:29" s="720" customFormat="1" x14ac:dyDescent="0.2">
      <c r="B10" s="717" t="s">
        <v>1251</v>
      </c>
      <c r="C10" s="718" t="s">
        <v>1250</v>
      </c>
      <c r="D10" s="724">
        <f>IF(D5&lt;=$C$4,('Resultados_Composição CT'!$F$78*12-D6*D8)/1000,"")</f>
        <v>4178.9364263982889</v>
      </c>
      <c r="E10" s="724">
        <f>IF(E5&lt;=$C$4,('Resultados_Composição CT'!$F$78*12-E6*E8)/1000,"")</f>
        <v>3963.7484263982883</v>
      </c>
      <c r="F10" s="724">
        <f>IF(F5&lt;=$C$4,('Resultados_Composição CT'!$F$78*12-F6*F8)/1000,"")</f>
        <v>3748.6004263982886</v>
      </c>
      <c r="G10" s="724">
        <f>IF(G5&lt;=$C$4,('Resultados_Composição CT'!$F$78*12-G6*G8)/1000,"")</f>
        <v>3633.3964263982884</v>
      </c>
      <c r="H10" s="724">
        <f>IF(H5&lt;=$C$4,('Resultados_Composição CT'!$F$78*12-H6*H8)/1000,"")</f>
        <v>3601.4444263982887</v>
      </c>
      <c r="I10" s="724">
        <f>IF(I5&lt;=$C$4,('Resultados_Composição CT'!$F$78*12-I6*I8)/1000,"")</f>
        <v>3571.5724263982884</v>
      </c>
      <c r="J10" s="724">
        <f>IF(J5&lt;=$C$4,('Resultados_Composição CT'!$F$78*12-J6*J8)/1000,"")</f>
        <v>3539.6204263982886</v>
      </c>
      <c r="K10" s="724">
        <f>IF(K5&lt;=$C$4,('Resultados_Composição CT'!$F$78*12-K6*K8)/1000,"")</f>
        <v>3509.7444263982884</v>
      </c>
      <c r="L10" s="724">
        <f>IF(L5&lt;=$C$4,('Resultados_Composição CT'!$F$78*12-L6*L8)/1000,"")</f>
        <v>3477.7964263982885</v>
      </c>
      <c r="M10" s="724">
        <f>IF(M5&lt;=$C$4,('Resultados_Composição CT'!$F$78*12-M6*M8)/1000,"")</f>
        <v>3447.9164263982884</v>
      </c>
      <c r="N10" s="724">
        <f>IF(N5&lt;=$C$4,('Resultados_Composição CT'!$F$78*12-N6*N8)/1000,"")</f>
        <v>3415.9724263982885</v>
      </c>
      <c r="O10" s="724">
        <f>IF(O5&lt;=$C$4,('Resultados_Composição CT'!$F$78*12-O6*O8)/1000,"")</f>
        <v>3386.0884263982884</v>
      </c>
      <c r="P10" s="724">
        <f>IF(P5&lt;=$C$4,('Resultados_Composição CT'!$F$78*12-P6*P8)/1000,"")</f>
        <v>3354.1484263982884</v>
      </c>
      <c r="Q10" s="724">
        <f>IF(Q5&lt;=$C$4,('Resultados_Composição CT'!$F$78*12-Q6*Q8)/1000,"")</f>
        <v>3324.2604263982885</v>
      </c>
      <c r="R10" s="724">
        <f>IF(R5&lt;=$C$4,('Resultados_Composição CT'!$F$78*12-R6*R8)/1000,"")</f>
        <v>3292.3204263982884</v>
      </c>
      <c r="S10" s="725" t="str">
        <f t="shared" ref="S10:AC10" si="2">IF(S5&lt;=$C$4,R10,"")</f>
        <v/>
      </c>
      <c r="T10" s="725" t="str">
        <f t="shared" si="2"/>
        <v/>
      </c>
      <c r="U10" s="725" t="str">
        <f t="shared" si="2"/>
        <v/>
      </c>
      <c r="V10" s="725" t="str">
        <f t="shared" si="2"/>
        <v/>
      </c>
      <c r="W10" s="725" t="str">
        <f t="shared" si="2"/>
        <v/>
      </c>
      <c r="X10" s="725" t="str">
        <f t="shared" si="2"/>
        <v/>
      </c>
      <c r="Y10" s="725" t="str">
        <f t="shared" si="2"/>
        <v/>
      </c>
      <c r="Z10" s="725" t="str">
        <f t="shared" si="2"/>
        <v/>
      </c>
      <c r="AA10" s="725" t="str">
        <f t="shared" si="2"/>
        <v/>
      </c>
      <c r="AB10" s="725" t="str">
        <f t="shared" si="2"/>
        <v/>
      </c>
      <c r="AC10" s="725" t="str">
        <f t="shared" si="2"/>
        <v/>
      </c>
    </row>
    <row r="11" spans="2:29" s="720" customFormat="1" x14ac:dyDescent="0.2">
      <c r="B11" s="717" t="s">
        <v>1252</v>
      </c>
      <c r="C11" s="718" t="s">
        <v>1250</v>
      </c>
      <c r="D11" s="725">
        <f>'Resultados_Composição CT'!$F$75*12/1000</f>
        <v>48.712880282802246</v>
      </c>
      <c r="E11" s="725">
        <f>IF(E5&lt;=$C$4,'Resultados_Composição CT'!$F$75*12/1000,"")</f>
        <v>48.712880282802246</v>
      </c>
      <c r="F11" s="725">
        <f>IF(F5&lt;=$C$4,'Resultados_Composição CT'!$F$75*12/1000,"")</f>
        <v>48.712880282802246</v>
      </c>
      <c r="G11" s="725">
        <f>IF(G5&lt;=$C$4,'Resultados_Composição CT'!$F$75*12/1000,"")</f>
        <v>48.712880282802246</v>
      </c>
      <c r="H11" s="725">
        <f>IF(H5&lt;=$C$4,'Resultados_Composição CT'!$F$75*12/1000,"")</f>
        <v>48.712880282802246</v>
      </c>
      <c r="I11" s="725">
        <f>IF(I5&lt;=$C$4,'Resultados_Composição CT'!$F$75*12/1000,"")</f>
        <v>48.712880282802246</v>
      </c>
      <c r="J11" s="725">
        <f>IF(J5&lt;=$C$4,'Resultados_Composição CT'!$F$75*12/1000,"")</f>
        <v>48.712880282802246</v>
      </c>
      <c r="K11" s="725">
        <f>IF(K5&lt;=$C$4,'Resultados_Composição CT'!$F$75*12/1000,"")</f>
        <v>48.712880282802246</v>
      </c>
      <c r="L11" s="725">
        <f>IF(L5&lt;=$C$4,'Resultados_Composição CT'!$F$75*12/1000,"")</f>
        <v>48.712880282802246</v>
      </c>
      <c r="M11" s="725">
        <f>IF(M5&lt;=$C$4,'Resultados_Composição CT'!$F$75*12/1000,"")</f>
        <v>48.712880282802246</v>
      </c>
      <c r="N11" s="725">
        <f>IF(N5&lt;=$C$4,'Resultados_Composição CT'!$F$75*12/1000,"")</f>
        <v>48.712880282802246</v>
      </c>
      <c r="O11" s="725">
        <f>IF(O5&lt;=$C$4,'Resultados_Composição CT'!$F$75*12/1000,"")</f>
        <v>48.712880282802246</v>
      </c>
      <c r="P11" s="725">
        <f>IF(P5&lt;=$C$4,'Resultados_Composição CT'!$F$75*12/1000,"")</f>
        <v>48.712880282802246</v>
      </c>
      <c r="Q11" s="725">
        <f>IF(Q5&lt;=$C$4,'Resultados_Composição CT'!$F$75*12/1000,"")</f>
        <v>48.712880282802246</v>
      </c>
      <c r="R11" s="725">
        <f>IF(R5&lt;=$C$4,'Resultados_Composição CT'!$F$75*12/1000,"")</f>
        <v>48.712880282802246</v>
      </c>
      <c r="S11" s="725" t="str">
        <f>IF(S5&lt;=$C$4,'Resultados_Composição CT'!$F$75*12/1000,"")</f>
        <v/>
      </c>
      <c r="T11" s="725" t="str">
        <f>IF(T5&lt;=$C$4,'Resultados_Composição CT'!$F$75*12/1000,"")</f>
        <v/>
      </c>
      <c r="U11" s="725" t="str">
        <f>IF(U5&lt;=$C$4,'Resultados_Composição CT'!$F$75*12/1000,"")</f>
        <v/>
      </c>
      <c r="V11" s="725" t="str">
        <f>IF(V5&lt;=$C$4,'Resultados_Composição CT'!$F$75*12/1000,"")</f>
        <v/>
      </c>
      <c r="W11" s="725" t="str">
        <f>IF(W5&lt;=$C$4,'Resultados_Composição CT'!$F$75*12/1000,"")</f>
        <v/>
      </c>
      <c r="X11" s="725" t="str">
        <f>IF(X5&lt;=$C$4,'Resultados_Composição CT'!$F$75*12/1000,"")</f>
        <v/>
      </c>
      <c r="Y11" s="725" t="str">
        <f>IF(Y5&lt;=$C$4,'Resultados_Composição CT'!$F$75*12/1000,"")</f>
        <v/>
      </c>
      <c r="Z11" s="725" t="str">
        <f>IF(Z5&lt;=$C$4,'Resultados_Composição CT'!$F$75*12/1000,"")</f>
        <v/>
      </c>
      <c r="AA11" s="725" t="str">
        <f>IF(AA5&lt;=$C$4,'Resultados_Composição CT'!$F$75*12/1000,"")</f>
        <v/>
      </c>
      <c r="AB11" s="725" t="str">
        <f>IF(AB5&lt;=$C$4,'Resultados_Composição CT'!$F$75*12/1000,"")</f>
        <v/>
      </c>
      <c r="AC11" s="725" t="str">
        <f>IF(AC5&lt;=$C$4,'Resultados_Composição CT'!$F$75*12/1000,"")</f>
        <v/>
      </c>
    </row>
    <row r="12" spans="2:29" s="729" customFormat="1" x14ac:dyDescent="0.2">
      <c r="B12" s="726"/>
      <c r="C12" s="727"/>
      <c r="D12" s="727"/>
      <c r="E12" s="727"/>
      <c r="F12" s="728"/>
      <c r="G12" s="728"/>
      <c r="H12" s="728"/>
      <c r="I12" s="728"/>
      <c r="J12" s="728"/>
      <c r="K12" s="728"/>
      <c r="L12" s="728"/>
      <c r="M12" s="728"/>
      <c r="N12" s="727"/>
      <c r="O12" s="727"/>
      <c r="P12" s="727"/>
      <c r="Q12" s="727"/>
      <c r="R12" s="727"/>
      <c r="S12" s="727"/>
      <c r="T12" s="727"/>
      <c r="U12" s="727"/>
      <c r="V12" s="727"/>
      <c r="W12" s="727"/>
      <c r="X12" s="727"/>
      <c r="Y12" s="727"/>
      <c r="Z12" s="727"/>
      <c r="AA12" s="727"/>
      <c r="AB12" s="727"/>
      <c r="AC12" s="727"/>
    </row>
    <row r="13" spans="2:29" x14ac:dyDescent="0.2">
      <c r="B13" s="730" t="s">
        <v>1409</v>
      </c>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row>
    <row r="14" spans="2:29" x14ac:dyDescent="0.2">
      <c r="B14" s="714" t="s">
        <v>360</v>
      </c>
      <c r="C14" s="715" t="s">
        <v>1244</v>
      </c>
      <c r="D14" s="716">
        <f t="shared" ref="D14:AC14" si="3">D$5</f>
        <v>1</v>
      </c>
      <c r="E14" s="716">
        <f t="shared" si="3"/>
        <v>2</v>
      </c>
      <c r="F14" s="716">
        <f t="shared" si="3"/>
        <v>3</v>
      </c>
      <c r="G14" s="716">
        <f t="shared" si="3"/>
        <v>4</v>
      </c>
      <c r="H14" s="716">
        <f t="shared" si="3"/>
        <v>5</v>
      </c>
      <c r="I14" s="716">
        <f t="shared" si="3"/>
        <v>6</v>
      </c>
      <c r="J14" s="716">
        <f t="shared" si="3"/>
        <v>7</v>
      </c>
      <c r="K14" s="716">
        <f t="shared" si="3"/>
        <v>8</v>
      </c>
      <c r="L14" s="716">
        <f t="shared" si="3"/>
        <v>9</v>
      </c>
      <c r="M14" s="716">
        <f t="shared" si="3"/>
        <v>10</v>
      </c>
      <c r="N14" s="716">
        <f t="shared" si="3"/>
        <v>11</v>
      </c>
      <c r="O14" s="716">
        <f t="shared" si="3"/>
        <v>12</v>
      </c>
      <c r="P14" s="716">
        <f t="shared" si="3"/>
        <v>13</v>
      </c>
      <c r="Q14" s="716">
        <f t="shared" si="3"/>
        <v>14</v>
      </c>
      <c r="R14" s="716">
        <f t="shared" si="3"/>
        <v>15</v>
      </c>
      <c r="S14" s="716">
        <f t="shared" si="3"/>
        <v>16</v>
      </c>
      <c r="T14" s="716">
        <f t="shared" si="3"/>
        <v>17</v>
      </c>
      <c r="U14" s="716">
        <f t="shared" si="3"/>
        <v>18</v>
      </c>
      <c r="V14" s="716">
        <f t="shared" si="3"/>
        <v>19</v>
      </c>
      <c r="W14" s="716">
        <f t="shared" si="3"/>
        <v>20</v>
      </c>
      <c r="X14" s="716">
        <f t="shared" si="3"/>
        <v>21</v>
      </c>
      <c r="Y14" s="716">
        <f t="shared" si="3"/>
        <v>22</v>
      </c>
      <c r="Z14" s="716">
        <f t="shared" si="3"/>
        <v>23</v>
      </c>
      <c r="AA14" s="716">
        <f t="shared" si="3"/>
        <v>24</v>
      </c>
      <c r="AB14" s="716">
        <f t="shared" si="3"/>
        <v>25</v>
      </c>
      <c r="AC14" s="716">
        <f t="shared" si="3"/>
        <v>26</v>
      </c>
    </row>
    <row r="15" spans="2:29" s="720" customFormat="1" x14ac:dyDescent="0.2">
      <c r="B15" s="731" t="s">
        <v>1189</v>
      </c>
      <c r="C15" s="732" t="s">
        <v>68</v>
      </c>
      <c r="D15" s="733">
        <v>3.9300000000000002E-2</v>
      </c>
      <c r="E15" s="733">
        <v>3.5000000000000003E-2</v>
      </c>
      <c r="F15" s="733">
        <v>3.5000000000000003E-2</v>
      </c>
      <c r="G15" s="733">
        <v>3.5000000000000003E-2</v>
      </c>
      <c r="H15" s="734">
        <f t="shared" ref="H15:AC17" si="4">G15</f>
        <v>3.5000000000000003E-2</v>
      </c>
      <c r="I15" s="734">
        <f t="shared" si="4"/>
        <v>3.5000000000000003E-2</v>
      </c>
      <c r="J15" s="734">
        <f t="shared" si="4"/>
        <v>3.5000000000000003E-2</v>
      </c>
      <c r="K15" s="734">
        <f t="shared" si="4"/>
        <v>3.5000000000000003E-2</v>
      </c>
      <c r="L15" s="734">
        <f t="shared" si="4"/>
        <v>3.5000000000000003E-2</v>
      </c>
      <c r="M15" s="734">
        <f t="shared" si="4"/>
        <v>3.5000000000000003E-2</v>
      </c>
      <c r="N15" s="734">
        <f t="shared" si="4"/>
        <v>3.5000000000000003E-2</v>
      </c>
      <c r="O15" s="734">
        <f t="shared" si="4"/>
        <v>3.5000000000000003E-2</v>
      </c>
      <c r="P15" s="734">
        <f t="shared" si="4"/>
        <v>3.5000000000000003E-2</v>
      </c>
      <c r="Q15" s="734">
        <f t="shared" si="4"/>
        <v>3.5000000000000003E-2</v>
      </c>
      <c r="R15" s="734">
        <f t="shared" si="4"/>
        <v>3.5000000000000003E-2</v>
      </c>
      <c r="S15" s="734">
        <f t="shared" si="4"/>
        <v>3.5000000000000003E-2</v>
      </c>
      <c r="T15" s="734">
        <f t="shared" si="4"/>
        <v>3.5000000000000003E-2</v>
      </c>
      <c r="U15" s="734">
        <f t="shared" si="4"/>
        <v>3.5000000000000003E-2</v>
      </c>
      <c r="V15" s="734">
        <f t="shared" si="4"/>
        <v>3.5000000000000003E-2</v>
      </c>
      <c r="W15" s="734">
        <f t="shared" si="4"/>
        <v>3.5000000000000003E-2</v>
      </c>
      <c r="X15" s="734">
        <f t="shared" si="4"/>
        <v>3.5000000000000003E-2</v>
      </c>
      <c r="Y15" s="734">
        <f t="shared" si="4"/>
        <v>3.5000000000000003E-2</v>
      </c>
      <c r="Z15" s="734">
        <f t="shared" si="4"/>
        <v>3.5000000000000003E-2</v>
      </c>
      <c r="AA15" s="734">
        <f t="shared" si="4"/>
        <v>3.5000000000000003E-2</v>
      </c>
      <c r="AB15" s="734">
        <f t="shared" si="4"/>
        <v>3.5000000000000003E-2</v>
      </c>
      <c r="AC15" s="734">
        <f t="shared" si="4"/>
        <v>3.5000000000000003E-2</v>
      </c>
    </row>
    <row r="16" spans="2:29" s="720" customFormat="1" x14ac:dyDescent="0.2">
      <c r="B16" s="731" t="s">
        <v>1253</v>
      </c>
      <c r="C16" s="732" t="s">
        <v>68</v>
      </c>
      <c r="D16" s="733">
        <v>9.2499999999999999E-2</v>
      </c>
      <c r="E16" s="733">
        <v>8.5000000000000006E-2</v>
      </c>
      <c r="F16" s="733">
        <v>8.5000000000000006E-2</v>
      </c>
      <c r="G16" s="733">
        <v>8.5000000000000006E-2</v>
      </c>
      <c r="H16" s="734">
        <f t="shared" si="4"/>
        <v>8.5000000000000006E-2</v>
      </c>
      <c r="I16" s="734">
        <f t="shared" si="4"/>
        <v>8.5000000000000006E-2</v>
      </c>
      <c r="J16" s="734">
        <f t="shared" si="4"/>
        <v>8.5000000000000006E-2</v>
      </c>
      <c r="K16" s="734">
        <f t="shared" si="4"/>
        <v>8.5000000000000006E-2</v>
      </c>
      <c r="L16" s="734">
        <f t="shared" si="4"/>
        <v>8.5000000000000006E-2</v>
      </c>
      <c r="M16" s="734">
        <f t="shared" si="4"/>
        <v>8.5000000000000006E-2</v>
      </c>
      <c r="N16" s="734">
        <f t="shared" si="4"/>
        <v>8.5000000000000006E-2</v>
      </c>
      <c r="O16" s="734">
        <f t="shared" si="4"/>
        <v>8.5000000000000006E-2</v>
      </c>
      <c r="P16" s="734">
        <f t="shared" si="4"/>
        <v>8.5000000000000006E-2</v>
      </c>
      <c r="Q16" s="734">
        <f t="shared" si="4"/>
        <v>8.5000000000000006E-2</v>
      </c>
      <c r="R16" s="734">
        <f t="shared" si="4"/>
        <v>8.5000000000000006E-2</v>
      </c>
      <c r="S16" s="734">
        <f t="shared" si="4"/>
        <v>8.5000000000000006E-2</v>
      </c>
      <c r="T16" s="734">
        <f t="shared" si="4"/>
        <v>8.5000000000000006E-2</v>
      </c>
      <c r="U16" s="734">
        <f t="shared" si="4"/>
        <v>8.5000000000000006E-2</v>
      </c>
      <c r="V16" s="734">
        <f t="shared" si="4"/>
        <v>8.5000000000000006E-2</v>
      </c>
      <c r="W16" s="734">
        <f t="shared" si="4"/>
        <v>8.5000000000000006E-2</v>
      </c>
      <c r="X16" s="734">
        <f t="shared" si="4"/>
        <v>8.5000000000000006E-2</v>
      </c>
      <c r="Y16" s="734">
        <f t="shared" si="4"/>
        <v>8.5000000000000006E-2</v>
      </c>
      <c r="Z16" s="734">
        <f t="shared" si="4"/>
        <v>8.5000000000000006E-2</v>
      </c>
      <c r="AA16" s="734">
        <f t="shared" si="4"/>
        <v>8.5000000000000006E-2</v>
      </c>
      <c r="AB16" s="734">
        <f t="shared" si="4"/>
        <v>8.5000000000000006E-2</v>
      </c>
      <c r="AC16" s="734">
        <f t="shared" si="4"/>
        <v>8.5000000000000006E-2</v>
      </c>
    </row>
    <row r="17" spans="1:29" s="720" customFormat="1" x14ac:dyDescent="0.2">
      <c r="B17" s="717" t="s">
        <v>1254</v>
      </c>
      <c r="C17" s="735" t="s">
        <v>20</v>
      </c>
      <c r="D17" s="736">
        <v>5</v>
      </c>
      <c r="E17" s="736">
        <v>5.0999999999999996</v>
      </c>
      <c r="F17" s="736">
        <v>5.16</v>
      </c>
      <c r="G17" s="736">
        <v>5.16</v>
      </c>
      <c r="H17" s="737">
        <f t="shared" si="4"/>
        <v>5.16</v>
      </c>
      <c r="I17" s="737">
        <f t="shared" si="4"/>
        <v>5.16</v>
      </c>
      <c r="J17" s="737">
        <f t="shared" si="4"/>
        <v>5.16</v>
      </c>
      <c r="K17" s="737">
        <f t="shared" si="4"/>
        <v>5.16</v>
      </c>
      <c r="L17" s="737">
        <f t="shared" si="4"/>
        <v>5.16</v>
      </c>
      <c r="M17" s="737">
        <f t="shared" si="4"/>
        <v>5.16</v>
      </c>
      <c r="N17" s="737">
        <f t="shared" si="4"/>
        <v>5.16</v>
      </c>
      <c r="O17" s="737">
        <f t="shared" si="4"/>
        <v>5.16</v>
      </c>
      <c r="P17" s="737">
        <f t="shared" si="4"/>
        <v>5.16</v>
      </c>
      <c r="Q17" s="737">
        <f t="shared" si="4"/>
        <v>5.16</v>
      </c>
      <c r="R17" s="737">
        <f t="shared" si="4"/>
        <v>5.16</v>
      </c>
      <c r="S17" s="737">
        <f t="shared" si="4"/>
        <v>5.16</v>
      </c>
      <c r="T17" s="737">
        <f t="shared" si="4"/>
        <v>5.16</v>
      </c>
      <c r="U17" s="737">
        <f t="shared" si="4"/>
        <v>5.16</v>
      </c>
      <c r="V17" s="737">
        <f t="shared" si="4"/>
        <v>5.16</v>
      </c>
      <c r="W17" s="737">
        <f t="shared" si="4"/>
        <v>5.16</v>
      </c>
      <c r="X17" s="737">
        <f t="shared" si="4"/>
        <v>5.16</v>
      </c>
      <c r="Y17" s="737">
        <f t="shared" si="4"/>
        <v>5.16</v>
      </c>
      <c r="Z17" s="737">
        <f t="shared" si="4"/>
        <v>5.16</v>
      </c>
      <c r="AA17" s="737">
        <f t="shared" si="4"/>
        <v>5.16</v>
      </c>
      <c r="AB17" s="737">
        <f t="shared" si="4"/>
        <v>5.16</v>
      </c>
      <c r="AC17" s="737">
        <f t="shared" si="4"/>
        <v>5.16</v>
      </c>
    </row>
    <row r="18" spans="1:29" s="729" customFormat="1" x14ac:dyDescent="0.2">
      <c r="B18" s="726"/>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7"/>
      <c r="AB18" s="727"/>
      <c r="AC18" s="727"/>
    </row>
    <row r="19" spans="1:29" x14ac:dyDescent="0.2">
      <c r="B19" s="738" t="s">
        <v>1255</v>
      </c>
      <c r="C19" s="707"/>
      <c r="D19" s="707"/>
      <c r="E19" s="707"/>
      <c r="F19" s="707"/>
      <c r="G19" s="707"/>
      <c r="H19" s="707"/>
      <c r="I19" s="707"/>
      <c r="J19" s="707"/>
      <c r="K19" s="707"/>
      <c r="L19" s="707"/>
      <c r="M19" s="707"/>
      <c r="N19" s="707"/>
      <c r="O19" s="707"/>
      <c r="P19" s="707"/>
      <c r="Q19" s="707"/>
      <c r="R19" s="707"/>
      <c r="S19" s="707"/>
      <c r="T19" s="707"/>
      <c r="U19" s="707"/>
      <c r="V19" s="707"/>
      <c r="W19" s="707"/>
      <c r="X19" s="707"/>
      <c r="Y19" s="707"/>
      <c r="Z19" s="707"/>
      <c r="AA19" s="707"/>
      <c r="AB19" s="707"/>
      <c r="AC19" s="707"/>
    </row>
    <row r="20" spans="1:29" x14ac:dyDescent="0.2">
      <c r="B20" s="714" t="s">
        <v>360</v>
      </c>
      <c r="C20" s="715" t="s">
        <v>1244</v>
      </c>
      <c r="D20" s="716">
        <f t="shared" ref="D20:AC20" si="5">D$5</f>
        <v>1</v>
      </c>
      <c r="E20" s="716">
        <f t="shared" si="5"/>
        <v>2</v>
      </c>
      <c r="F20" s="716">
        <f t="shared" si="5"/>
        <v>3</v>
      </c>
      <c r="G20" s="716">
        <f t="shared" si="5"/>
        <v>4</v>
      </c>
      <c r="H20" s="716">
        <f t="shared" si="5"/>
        <v>5</v>
      </c>
      <c r="I20" s="716">
        <f t="shared" si="5"/>
        <v>6</v>
      </c>
      <c r="J20" s="716">
        <f t="shared" si="5"/>
        <v>7</v>
      </c>
      <c r="K20" s="716">
        <f t="shared" si="5"/>
        <v>8</v>
      </c>
      <c r="L20" s="716">
        <f t="shared" si="5"/>
        <v>9</v>
      </c>
      <c r="M20" s="716">
        <f t="shared" si="5"/>
        <v>10</v>
      </c>
      <c r="N20" s="716">
        <f t="shared" si="5"/>
        <v>11</v>
      </c>
      <c r="O20" s="716">
        <f t="shared" si="5"/>
        <v>12</v>
      </c>
      <c r="P20" s="716">
        <f t="shared" si="5"/>
        <v>13</v>
      </c>
      <c r="Q20" s="716">
        <f t="shared" si="5"/>
        <v>14</v>
      </c>
      <c r="R20" s="716">
        <f t="shared" si="5"/>
        <v>15</v>
      </c>
      <c r="S20" s="716">
        <f t="shared" si="5"/>
        <v>16</v>
      </c>
      <c r="T20" s="716">
        <f t="shared" si="5"/>
        <v>17</v>
      </c>
      <c r="U20" s="716">
        <f t="shared" si="5"/>
        <v>18</v>
      </c>
      <c r="V20" s="716">
        <f t="shared" si="5"/>
        <v>19</v>
      </c>
      <c r="W20" s="716">
        <f t="shared" si="5"/>
        <v>20</v>
      </c>
      <c r="X20" s="716">
        <f t="shared" si="5"/>
        <v>21</v>
      </c>
      <c r="Y20" s="716">
        <f t="shared" si="5"/>
        <v>22</v>
      </c>
      <c r="Z20" s="716">
        <f t="shared" si="5"/>
        <v>23</v>
      </c>
      <c r="AA20" s="716">
        <f t="shared" si="5"/>
        <v>24</v>
      </c>
      <c r="AB20" s="716">
        <f t="shared" si="5"/>
        <v>25</v>
      </c>
      <c r="AC20" s="716">
        <f t="shared" si="5"/>
        <v>26</v>
      </c>
    </row>
    <row r="21" spans="1:29" s="720" customFormat="1" x14ac:dyDescent="0.2">
      <c r="B21" s="731" t="s">
        <v>1256</v>
      </c>
      <c r="C21" s="732" t="s">
        <v>68</v>
      </c>
      <c r="D21" s="734">
        <f>'Resultados_Composição CT'!F57</f>
        <v>0.05</v>
      </c>
      <c r="E21" s="734">
        <f>D21</f>
        <v>0.05</v>
      </c>
      <c r="F21" s="734">
        <f t="shared" ref="F21:AC21" si="6">E21</f>
        <v>0.05</v>
      </c>
      <c r="G21" s="734">
        <f t="shared" si="6"/>
        <v>0.05</v>
      </c>
      <c r="H21" s="734">
        <f t="shared" si="6"/>
        <v>0.05</v>
      </c>
      <c r="I21" s="734">
        <f t="shared" si="6"/>
        <v>0.05</v>
      </c>
      <c r="J21" s="734">
        <f t="shared" si="6"/>
        <v>0.05</v>
      </c>
      <c r="K21" s="734">
        <f t="shared" si="6"/>
        <v>0.05</v>
      </c>
      <c r="L21" s="734">
        <f t="shared" si="6"/>
        <v>0.05</v>
      </c>
      <c r="M21" s="734">
        <f t="shared" si="6"/>
        <v>0.05</v>
      </c>
      <c r="N21" s="734">
        <f t="shared" si="6"/>
        <v>0.05</v>
      </c>
      <c r="O21" s="734">
        <f t="shared" si="6"/>
        <v>0.05</v>
      </c>
      <c r="P21" s="734">
        <f t="shared" si="6"/>
        <v>0.05</v>
      </c>
      <c r="Q21" s="734">
        <f t="shared" si="6"/>
        <v>0.05</v>
      </c>
      <c r="R21" s="734">
        <f t="shared" si="6"/>
        <v>0.05</v>
      </c>
      <c r="S21" s="734">
        <f t="shared" si="6"/>
        <v>0.05</v>
      </c>
      <c r="T21" s="734">
        <f t="shared" si="6"/>
        <v>0.05</v>
      </c>
      <c r="U21" s="734">
        <f t="shared" si="6"/>
        <v>0.05</v>
      </c>
      <c r="V21" s="734">
        <f t="shared" si="6"/>
        <v>0.05</v>
      </c>
      <c r="W21" s="734">
        <f t="shared" si="6"/>
        <v>0.05</v>
      </c>
      <c r="X21" s="734">
        <f t="shared" si="6"/>
        <v>0.05</v>
      </c>
      <c r="Y21" s="734">
        <f t="shared" si="6"/>
        <v>0.05</v>
      </c>
      <c r="Z21" s="734">
        <f t="shared" si="6"/>
        <v>0.05</v>
      </c>
      <c r="AA21" s="734">
        <f t="shared" si="6"/>
        <v>0.05</v>
      </c>
      <c r="AB21" s="734">
        <f t="shared" si="6"/>
        <v>0.05</v>
      </c>
      <c r="AC21" s="734">
        <f t="shared" si="6"/>
        <v>0.05</v>
      </c>
    </row>
    <row r="22" spans="1:29" s="720" customFormat="1" x14ac:dyDescent="0.2">
      <c r="B22" s="731" t="s">
        <v>1257</v>
      </c>
      <c r="C22" s="732" t="s">
        <v>68</v>
      </c>
      <c r="D22" s="734">
        <v>0</v>
      </c>
      <c r="E22" s="734">
        <f t="shared" ref="E22:AC27" si="7">D22</f>
        <v>0</v>
      </c>
      <c r="F22" s="734">
        <f t="shared" si="7"/>
        <v>0</v>
      </c>
      <c r="G22" s="734">
        <f t="shared" si="7"/>
        <v>0</v>
      </c>
      <c r="H22" s="734">
        <f t="shared" si="7"/>
        <v>0</v>
      </c>
      <c r="I22" s="734">
        <f t="shared" si="7"/>
        <v>0</v>
      </c>
      <c r="J22" s="734">
        <f t="shared" si="7"/>
        <v>0</v>
      </c>
      <c r="K22" s="734">
        <f t="shared" si="7"/>
        <v>0</v>
      </c>
      <c r="L22" s="734">
        <f t="shared" si="7"/>
        <v>0</v>
      </c>
      <c r="M22" s="734">
        <f t="shared" si="7"/>
        <v>0</v>
      </c>
      <c r="N22" s="734">
        <f t="shared" si="7"/>
        <v>0</v>
      </c>
      <c r="O22" s="734">
        <f t="shared" si="7"/>
        <v>0</v>
      </c>
      <c r="P22" s="734">
        <f t="shared" si="7"/>
        <v>0</v>
      </c>
      <c r="Q22" s="734">
        <f t="shared" si="7"/>
        <v>0</v>
      </c>
      <c r="R22" s="734">
        <f t="shared" si="7"/>
        <v>0</v>
      </c>
      <c r="S22" s="734">
        <f t="shared" si="7"/>
        <v>0</v>
      </c>
      <c r="T22" s="734">
        <f t="shared" si="7"/>
        <v>0</v>
      </c>
      <c r="U22" s="734">
        <f t="shared" si="7"/>
        <v>0</v>
      </c>
      <c r="V22" s="734">
        <f t="shared" si="7"/>
        <v>0</v>
      </c>
      <c r="W22" s="734">
        <f t="shared" si="7"/>
        <v>0</v>
      </c>
      <c r="X22" s="734">
        <f t="shared" si="7"/>
        <v>0</v>
      </c>
      <c r="Y22" s="734">
        <f t="shared" si="7"/>
        <v>0</v>
      </c>
      <c r="Z22" s="734">
        <f t="shared" si="7"/>
        <v>0</v>
      </c>
      <c r="AA22" s="734">
        <f t="shared" si="7"/>
        <v>0</v>
      </c>
      <c r="AB22" s="734">
        <f t="shared" si="7"/>
        <v>0</v>
      </c>
      <c r="AC22" s="734">
        <f t="shared" si="7"/>
        <v>0</v>
      </c>
    </row>
    <row r="23" spans="1:29" x14ac:dyDescent="0.2">
      <c r="B23" s="731" t="s">
        <v>1258</v>
      </c>
      <c r="C23" s="732" t="s">
        <v>68</v>
      </c>
      <c r="D23" s="734">
        <v>0</v>
      </c>
      <c r="E23" s="734">
        <f t="shared" si="7"/>
        <v>0</v>
      </c>
      <c r="F23" s="734">
        <f t="shared" si="7"/>
        <v>0</v>
      </c>
      <c r="G23" s="734">
        <f t="shared" si="7"/>
        <v>0</v>
      </c>
      <c r="H23" s="734">
        <f t="shared" si="7"/>
        <v>0</v>
      </c>
      <c r="I23" s="734">
        <f t="shared" si="7"/>
        <v>0</v>
      </c>
      <c r="J23" s="734">
        <f t="shared" si="7"/>
        <v>0</v>
      </c>
      <c r="K23" s="734">
        <f t="shared" si="7"/>
        <v>0</v>
      </c>
      <c r="L23" s="734">
        <f t="shared" si="7"/>
        <v>0</v>
      </c>
      <c r="M23" s="734">
        <f t="shared" si="7"/>
        <v>0</v>
      </c>
      <c r="N23" s="734">
        <f t="shared" si="7"/>
        <v>0</v>
      </c>
      <c r="O23" s="734">
        <f t="shared" si="7"/>
        <v>0</v>
      </c>
      <c r="P23" s="734">
        <f t="shared" si="7"/>
        <v>0</v>
      </c>
      <c r="Q23" s="734">
        <f t="shared" si="7"/>
        <v>0</v>
      </c>
      <c r="R23" s="734">
        <f t="shared" si="7"/>
        <v>0</v>
      </c>
      <c r="S23" s="734">
        <f t="shared" si="7"/>
        <v>0</v>
      </c>
      <c r="T23" s="734">
        <f t="shared" si="7"/>
        <v>0</v>
      </c>
      <c r="U23" s="734">
        <f t="shared" si="7"/>
        <v>0</v>
      </c>
      <c r="V23" s="734">
        <f t="shared" si="7"/>
        <v>0</v>
      </c>
      <c r="W23" s="734">
        <f t="shared" si="7"/>
        <v>0</v>
      </c>
      <c r="X23" s="734">
        <f t="shared" si="7"/>
        <v>0</v>
      </c>
      <c r="Y23" s="734">
        <f t="shared" si="7"/>
        <v>0</v>
      </c>
      <c r="Z23" s="734">
        <f t="shared" si="7"/>
        <v>0</v>
      </c>
      <c r="AA23" s="734">
        <f t="shared" si="7"/>
        <v>0</v>
      </c>
      <c r="AB23" s="734">
        <f t="shared" si="7"/>
        <v>0</v>
      </c>
      <c r="AC23" s="734">
        <f t="shared" si="7"/>
        <v>0</v>
      </c>
    </row>
    <row r="24" spans="1:29" x14ac:dyDescent="0.2">
      <c r="B24" s="731" t="s">
        <v>1259</v>
      </c>
      <c r="C24" s="732" t="s">
        <v>68</v>
      </c>
      <c r="D24" s="734">
        <v>0.15</v>
      </c>
      <c r="E24" s="734">
        <f t="shared" si="7"/>
        <v>0.15</v>
      </c>
      <c r="F24" s="734">
        <f t="shared" si="7"/>
        <v>0.15</v>
      </c>
      <c r="G24" s="734">
        <f t="shared" si="7"/>
        <v>0.15</v>
      </c>
      <c r="H24" s="734">
        <f t="shared" si="7"/>
        <v>0.15</v>
      </c>
      <c r="I24" s="734">
        <f t="shared" si="7"/>
        <v>0.15</v>
      </c>
      <c r="J24" s="734">
        <f t="shared" si="7"/>
        <v>0.15</v>
      </c>
      <c r="K24" s="734">
        <f t="shared" si="7"/>
        <v>0.15</v>
      </c>
      <c r="L24" s="734">
        <f t="shared" si="7"/>
        <v>0.15</v>
      </c>
      <c r="M24" s="734">
        <f t="shared" si="7"/>
        <v>0.15</v>
      </c>
      <c r="N24" s="734">
        <f t="shared" si="7"/>
        <v>0.15</v>
      </c>
      <c r="O24" s="734">
        <f t="shared" si="7"/>
        <v>0.15</v>
      </c>
      <c r="P24" s="734">
        <f t="shared" si="7"/>
        <v>0.15</v>
      </c>
      <c r="Q24" s="734">
        <f t="shared" si="7"/>
        <v>0.15</v>
      </c>
      <c r="R24" s="734">
        <f t="shared" si="7"/>
        <v>0.15</v>
      </c>
      <c r="S24" s="734">
        <f t="shared" si="7"/>
        <v>0.15</v>
      </c>
      <c r="T24" s="734">
        <f t="shared" si="7"/>
        <v>0.15</v>
      </c>
      <c r="U24" s="734">
        <f t="shared" si="7"/>
        <v>0.15</v>
      </c>
      <c r="V24" s="734">
        <f t="shared" si="7"/>
        <v>0.15</v>
      </c>
      <c r="W24" s="734">
        <f t="shared" si="7"/>
        <v>0.15</v>
      </c>
      <c r="X24" s="734">
        <f t="shared" si="7"/>
        <v>0.15</v>
      </c>
      <c r="Y24" s="734">
        <f t="shared" si="7"/>
        <v>0.15</v>
      </c>
      <c r="Z24" s="734">
        <f t="shared" si="7"/>
        <v>0.15</v>
      </c>
      <c r="AA24" s="734">
        <f t="shared" si="7"/>
        <v>0.15</v>
      </c>
      <c r="AB24" s="734">
        <f t="shared" si="7"/>
        <v>0.15</v>
      </c>
      <c r="AC24" s="734">
        <f t="shared" si="7"/>
        <v>0.15</v>
      </c>
    </row>
    <row r="25" spans="1:29" x14ac:dyDescent="0.2">
      <c r="B25" s="731" t="s">
        <v>1260</v>
      </c>
      <c r="C25" s="732" t="s">
        <v>68</v>
      </c>
      <c r="D25" s="734">
        <v>0.1</v>
      </c>
      <c r="E25" s="734">
        <f t="shared" si="7"/>
        <v>0.1</v>
      </c>
      <c r="F25" s="734">
        <f t="shared" si="7"/>
        <v>0.1</v>
      </c>
      <c r="G25" s="734">
        <f t="shared" si="7"/>
        <v>0.1</v>
      </c>
      <c r="H25" s="734">
        <f t="shared" si="7"/>
        <v>0.1</v>
      </c>
      <c r="I25" s="734">
        <f t="shared" si="7"/>
        <v>0.1</v>
      </c>
      <c r="J25" s="734">
        <f t="shared" si="7"/>
        <v>0.1</v>
      </c>
      <c r="K25" s="734">
        <f t="shared" si="7"/>
        <v>0.1</v>
      </c>
      <c r="L25" s="734">
        <f t="shared" si="7"/>
        <v>0.1</v>
      </c>
      <c r="M25" s="734">
        <f t="shared" si="7"/>
        <v>0.1</v>
      </c>
      <c r="N25" s="734">
        <f t="shared" si="7"/>
        <v>0.1</v>
      </c>
      <c r="O25" s="734">
        <f t="shared" si="7"/>
        <v>0.1</v>
      </c>
      <c r="P25" s="734">
        <f t="shared" si="7"/>
        <v>0.1</v>
      </c>
      <c r="Q25" s="734">
        <f t="shared" si="7"/>
        <v>0.1</v>
      </c>
      <c r="R25" s="734">
        <f t="shared" si="7"/>
        <v>0.1</v>
      </c>
      <c r="S25" s="734">
        <f t="shared" si="7"/>
        <v>0.1</v>
      </c>
      <c r="T25" s="734">
        <f t="shared" si="7"/>
        <v>0.1</v>
      </c>
      <c r="U25" s="734">
        <f t="shared" si="7"/>
        <v>0.1</v>
      </c>
      <c r="V25" s="734">
        <f t="shared" si="7"/>
        <v>0.1</v>
      </c>
      <c r="W25" s="734">
        <f t="shared" si="7"/>
        <v>0.1</v>
      </c>
      <c r="X25" s="734">
        <f t="shared" si="7"/>
        <v>0.1</v>
      </c>
      <c r="Y25" s="734">
        <f t="shared" si="7"/>
        <v>0.1</v>
      </c>
      <c r="Z25" s="734">
        <f t="shared" si="7"/>
        <v>0.1</v>
      </c>
      <c r="AA25" s="734">
        <f t="shared" si="7"/>
        <v>0.1</v>
      </c>
      <c r="AB25" s="734">
        <f t="shared" si="7"/>
        <v>0.1</v>
      </c>
      <c r="AC25" s="734">
        <f t="shared" si="7"/>
        <v>0.1</v>
      </c>
    </row>
    <row r="26" spans="1:29" x14ac:dyDescent="0.2">
      <c r="B26" s="731" t="s">
        <v>1261</v>
      </c>
      <c r="C26" s="732" t="s">
        <v>68</v>
      </c>
      <c r="D26" s="734">
        <v>0.09</v>
      </c>
      <c r="E26" s="734">
        <f t="shared" si="7"/>
        <v>0.09</v>
      </c>
      <c r="F26" s="734">
        <f t="shared" si="7"/>
        <v>0.09</v>
      </c>
      <c r="G26" s="734">
        <f t="shared" si="7"/>
        <v>0.09</v>
      </c>
      <c r="H26" s="734">
        <f t="shared" si="7"/>
        <v>0.09</v>
      </c>
      <c r="I26" s="734">
        <f t="shared" si="7"/>
        <v>0.09</v>
      </c>
      <c r="J26" s="734">
        <f t="shared" si="7"/>
        <v>0.09</v>
      </c>
      <c r="K26" s="734">
        <f t="shared" si="7"/>
        <v>0.09</v>
      </c>
      <c r="L26" s="734">
        <f t="shared" si="7"/>
        <v>0.09</v>
      </c>
      <c r="M26" s="734">
        <f t="shared" si="7"/>
        <v>0.09</v>
      </c>
      <c r="N26" s="734">
        <f t="shared" si="7"/>
        <v>0.09</v>
      </c>
      <c r="O26" s="734">
        <f t="shared" si="7"/>
        <v>0.09</v>
      </c>
      <c r="P26" s="734">
        <f t="shared" si="7"/>
        <v>0.09</v>
      </c>
      <c r="Q26" s="734">
        <f t="shared" si="7"/>
        <v>0.09</v>
      </c>
      <c r="R26" s="734">
        <f t="shared" si="7"/>
        <v>0.09</v>
      </c>
      <c r="S26" s="734">
        <f t="shared" si="7"/>
        <v>0.09</v>
      </c>
      <c r="T26" s="734">
        <f t="shared" si="7"/>
        <v>0.09</v>
      </c>
      <c r="U26" s="734">
        <f t="shared" si="7"/>
        <v>0.09</v>
      </c>
      <c r="V26" s="734">
        <f t="shared" si="7"/>
        <v>0.09</v>
      </c>
      <c r="W26" s="734">
        <f t="shared" si="7"/>
        <v>0.09</v>
      </c>
      <c r="X26" s="734">
        <f t="shared" si="7"/>
        <v>0.09</v>
      </c>
      <c r="Y26" s="734">
        <f t="shared" si="7"/>
        <v>0.09</v>
      </c>
      <c r="Z26" s="734">
        <f t="shared" si="7"/>
        <v>0.09</v>
      </c>
      <c r="AA26" s="734">
        <f t="shared" si="7"/>
        <v>0.09</v>
      </c>
      <c r="AB26" s="734">
        <f t="shared" si="7"/>
        <v>0.09</v>
      </c>
      <c r="AC26" s="734">
        <f t="shared" si="7"/>
        <v>0.09</v>
      </c>
    </row>
    <row r="27" spans="1:29" x14ac:dyDescent="0.2">
      <c r="B27" s="731" t="s">
        <v>1262</v>
      </c>
      <c r="C27" s="732" t="s">
        <v>68</v>
      </c>
      <c r="D27" s="734">
        <f>'Resultados_Composição CT'!F56</f>
        <v>0.01</v>
      </c>
      <c r="E27" s="734">
        <f t="shared" si="7"/>
        <v>0.01</v>
      </c>
      <c r="F27" s="734">
        <f t="shared" si="7"/>
        <v>0.01</v>
      </c>
      <c r="G27" s="734">
        <f t="shared" si="7"/>
        <v>0.01</v>
      </c>
      <c r="H27" s="734">
        <f t="shared" si="7"/>
        <v>0.01</v>
      </c>
      <c r="I27" s="734">
        <f t="shared" si="7"/>
        <v>0.01</v>
      </c>
      <c r="J27" s="734">
        <f t="shared" si="7"/>
        <v>0.01</v>
      </c>
      <c r="K27" s="734">
        <f t="shared" si="7"/>
        <v>0.01</v>
      </c>
      <c r="L27" s="734">
        <f t="shared" si="7"/>
        <v>0.01</v>
      </c>
      <c r="M27" s="734">
        <f t="shared" si="7"/>
        <v>0.01</v>
      </c>
      <c r="N27" s="734">
        <f t="shared" si="7"/>
        <v>0.01</v>
      </c>
      <c r="O27" s="734">
        <f t="shared" si="7"/>
        <v>0.01</v>
      </c>
      <c r="P27" s="734">
        <f t="shared" si="7"/>
        <v>0.01</v>
      </c>
      <c r="Q27" s="734">
        <f t="shared" si="7"/>
        <v>0.01</v>
      </c>
      <c r="R27" s="734">
        <f t="shared" si="7"/>
        <v>0.01</v>
      </c>
      <c r="S27" s="734">
        <f t="shared" si="7"/>
        <v>0.01</v>
      </c>
      <c r="T27" s="734">
        <f t="shared" si="7"/>
        <v>0.01</v>
      </c>
      <c r="U27" s="734">
        <f t="shared" si="7"/>
        <v>0.01</v>
      </c>
      <c r="V27" s="734">
        <f t="shared" si="7"/>
        <v>0.01</v>
      </c>
      <c r="W27" s="734">
        <f t="shared" si="7"/>
        <v>0.01</v>
      </c>
      <c r="X27" s="734">
        <f t="shared" si="7"/>
        <v>0.01</v>
      </c>
      <c r="Y27" s="734">
        <f t="shared" si="7"/>
        <v>0.01</v>
      </c>
      <c r="Z27" s="734">
        <f t="shared" si="7"/>
        <v>0.01</v>
      </c>
      <c r="AA27" s="734">
        <f t="shared" si="7"/>
        <v>0.01</v>
      </c>
      <c r="AB27" s="734">
        <f t="shared" si="7"/>
        <v>0.01</v>
      </c>
      <c r="AC27" s="734">
        <f t="shared" si="7"/>
        <v>0.01</v>
      </c>
    </row>
    <row r="28" spans="1:29" x14ac:dyDescent="0.2">
      <c r="B28" s="739"/>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row>
    <row r="29" spans="1:29" s="745" customFormat="1" x14ac:dyDescent="0.2">
      <c r="A29" s="740"/>
      <c r="B29" s="741" t="s">
        <v>1263</v>
      </c>
      <c r="C29" s="742"/>
      <c r="D29" s="743"/>
      <c r="E29" s="743"/>
      <c r="F29" s="743"/>
      <c r="G29" s="743"/>
      <c r="H29" s="743"/>
      <c r="I29" s="743"/>
      <c r="J29" s="743"/>
      <c r="K29" s="743"/>
      <c r="L29" s="743"/>
      <c r="M29" s="744"/>
      <c r="N29" s="743"/>
      <c r="O29" s="743"/>
      <c r="P29" s="743"/>
      <c r="Q29" s="743"/>
      <c r="R29" s="743"/>
      <c r="S29" s="743"/>
      <c r="T29" s="743"/>
      <c r="U29" s="743"/>
      <c r="V29" s="743"/>
      <c r="W29" s="743"/>
      <c r="X29" s="743"/>
      <c r="Y29" s="743"/>
      <c r="Z29" s="743"/>
      <c r="AA29" s="743"/>
      <c r="AB29" s="743"/>
      <c r="AC29" s="743"/>
    </row>
    <row r="30" spans="1:29" x14ac:dyDescent="0.2">
      <c r="B30" s="714" t="s">
        <v>360</v>
      </c>
      <c r="C30" s="715" t="s">
        <v>1244</v>
      </c>
      <c r="D30" s="716">
        <f t="shared" ref="D30:AC30" si="8">D$5</f>
        <v>1</v>
      </c>
      <c r="E30" s="716">
        <f t="shared" si="8"/>
        <v>2</v>
      </c>
      <c r="F30" s="716">
        <f t="shared" si="8"/>
        <v>3</v>
      </c>
      <c r="G30" s="716">
        <f t="shared" si="8"/>
        <v>4</v>
      </c>
      <c r="H30" s="716">
        <f t="shared" si="8"/>
        <v>5</v>
      </c>
      <c r="I30" s="716">
        <f t="shared" si="8"/>
        <v>6</v>
      </c>
      <c r="J30" s="716">
        <f t="shared" si="8"/>
        <v>7</v>
      </c>
      <c r="K30" s="716">
        <f t="shared" si="8"/>
        <v>8</v>
      </c>
      <c r="L30" s="716">
        <f t="shared" si="8"/>
        <v>9</v>
      </c>
      <c r="M30" s="716">
        <f t="shared" si="8"/>
        <v>10</v>
      </c>
      <c r="N30" s="716">
        <f t="shared" si="8"/>
        <v>11</v>
      </c>
      <c r="O30" s="716">
        <f t="shared" si="8"/>
        <v>12</v>
      </c>
      <c r="P30" s="716">
        <f t="shared" si="8"/>
        <v>13</v>
      </c>
      <c r="Q30" s="716">
        <f t="shared" si="8"/>
        <v>14</v>
      </c>
      <c r="R30" s="716">
        <f t="shared" si="8"/>
        <v>15</v>
      </c>
      <c r="S30" s="716">
        <f t="shared" si="8"/>
        <v>16</v>
      </c>
      <c r="T30" s="716">
        <f t="shared" si="8"/>
        <v>17</v>
      </c>
      <c r="U30" s="716">
        <f t="shared" si="8"/>
        <v>18</v>
      </c>
      <c r="V30" s="716">
        <f t="shared" si="8"/>
        <v>19</v>
      </c>
      <c r="W30" s="716">
        <f t="shared" si="8"/>
        <v>20</v>
      </c>
      <c r="X30" s="716">
        <f t="shared" si="8"/>
        <v>21</v>
      </c>
      <c r="Y30" s="716">
        <f t="shared" si="8"/>
        <v>22</v>
      </c>
      <c r="Z30" s="716">
        <f t="shared" si="8"/>
        <v>23</v>
      </c>
      <c r="AA30" s="716">
        <f t="shared" si="8"/>
        <v>24</v>
      </c>
      <c r="AB30" s="716">
        <f t="shared" si="8"/>
        <v>25</v>
      </c>
      <c r="AC30" s="716">
        <f t="shared" si="8"/>
        <v>26</v>
      </c>
    </row>
    <row r="31" spans="1:29" s="745" customFormat="1" x14ac:dyDescent="0.2">
      <c r="A31" s="740"/>
      <c r="B31" s="746" t="s">
        <v>1264</v>
      </c>
      <c r="C31" s="746"/>
      <c r="D31" s="747">
        <f>'Resultados_Tarifa e TIR'!B14</f>
        <v>0</v>
      </c>
      <c r="E31" s="747">
        <f t="shared" ref="E31:AC31" si="9">D31</f>
        <v>0</v>
      </c>
      <c r="F31" s="747">
        <f t="shared" si="9"/>
        <v>0</v>
      </c>
      <c r="G31" s="747">
        <f t="shared" si="9"/>
        <v>0</v>
      </c>
      <c r="H31" s="747">
        <f t="shared" si="9"/>
        <v>0</v>
      </c>
      <c r="I31" s="747">
        <f t="shared" si="9"/>
        <v>0</v>
      </c>
      <c r="J31" s="747">
        <f t="shared" si="9"/>
        <v>0</v>
      </c>
      <c r="K31" s="747">
        <f t="shared" si="9"/>
        <v>0</v>
      </c>
      <c r="L31" s="747">
        <f t="shared" si="9"/>
        <v>0</v>
      </c>
      <c r="M31" s="747">
        <f t="shared" si="9"/>
        <v>0</v>
      </c>
      <c r="N31" s="747">
        <f t="shared" si="9"/>
        <v>0</v>
      </c>
      <c r="O31" s="747">
        <f t="shared" si="9"/>
        <v>0</v>
      </c>
      <c r="P31" s="747">
        <f t="shared" si="9"/>
        <v>0</v>
      </c>
      <c r="Q31" s="747">
        <f t="shared" si="9"/>
        <v>0</v>
      </c>
      <c r="R31" s="747">
        <f t="shared" si="9"/>
        <v>0</v>
      </c>
      <c r="S31" s="747">
        <f t="shared" si="9"/>
        <v>0</v>
      </c>
      <c r="T31" s="747">
        <f t="shared" si="9"/>
        <v>0</v>
      </c>
      <c r="U31" s="747">
        <f t="shared" si="9"/>
        <v>0</v>
      </c>
      <c r="V31" s="747">
        <f t="shared" si="9"/>
        <v>0</v>
      </c>
      <c r="W31" s="747">
        <f t="shared" si="9"/>
        <v>0</v>
      </c>
      <c r="X31" s="747">
        <f t="shared" si="9"/>
        <v>0</v>
      </c>
      <c r="Y31" s="747">
        <f t="shared" si="9"/>
        <v>0</v>
      </c>
      <c r="Z31" s="747">
        <f t="shared" si="9"/>
        <v>0</v>
      </c>
      <c r="AA31" s="747">
        <f t="shared" si="9"/>
        <v>0</v>
      </c>
      <c r="AB31" s="747">
        <f t="shared" si="9"/>
        <v>0</v>
      </c>
      <c r="AC31" s="747">
        <f t="shared" si="9"/>
        <v>0</v>
      </c>
    </row>
    <row r="32" spans="1:29" x14ac:dyDescent="0.2">
      <c r="B32" s="739"/>
      <c r="C32" s="707"/>
      <c r="D32" s="707"/>
      <c r="E32" s="707"/>
      <c r="F32" s="707"/>
      <c r="G32" s="707" t="s">
        <v>1265</v>
      </c>
      <c r="H32" s="707"/>
      <c r="I32" s="707"/>
      <c r="J32" s="707"/>
      <c r="K32" s="707"/>
      <c r="L32" s="707"/>
      <c r="M32" s="707"/>
      <c r="N32" s="707"/>
      <c r="O32" s="707"/>
      <c r="P32" s="707"/>
      <c r="Q32" s="707"/>
      <c r="R32" s="707"/>
      <c r="S32" s="707"/>
      <c r="T32" s="707"/>
      <c r="U32" s="707"/>
      <c r="V32" s="707"/>
      <c r="W32" s="707"/>
      <c r="X32" s="707"/>
      <c r="Y32" s="707"/>
      <c r="Z32" s="707"/>
      <c r="AA32" s="707"/>
      <c r="AB32" s="707"/>
      <c r="AC32" s="707"/>
    </row>
    <row r="33" spans="2:29" x14ac:dyDescent="0.2">
      <c r="B33" s="738" t="s">
        <v>1266</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row>
    <row r="34" spans="2:29" x14ac:dyDescent="0.2">
      <c r="B34" s="714" t="s">
        <v>360</v>
      </c>
      <c r="C34" s="715" t="s">
        <v>1244</v>
      </c>
      <c r="D34" s="716">
        <f t="shared" ref="D34:AC34" si="10">D$5</f>
        <v>1</v>
      </c>
      <c r="E34" s="716">
        <f t="shared" si="10"/>
        <v>2</v>
      </c>
      <c r="F34" s="716">
        <f t="shared" si="10"/>
        <v>3</v>
      </c>
      <c r="G34" s="716">
        <f t="shared" si="10"/>
        <v>4</v>
      </c>
      <c r="H34" s="716">
        <f t="shared" si="10"/>
        <v>5</v>
      </c>
      <c r="I34" s="716">
        <f t="shared" si="10"/>
        <v>6</v>
      </c>
      <c r="J34" s="716">
        <f t="shared" si="10"/>
        <v>7</v>
      </c>
      <c r="K34" s="716">
        <f t="shared" si="10"/>
        <v>8</v>
      </c>
      <c r="L34" s="716">
        <f t="shared" si="10"/>
        <v>9</v>
      </c>
      <c r="M34" s="716">
        <f t="shared" si="10"/>
        <v>10</v>
      </c>
      <c r="N34" s="716">
        <f t="shared" si="10"/>
        <v>11</v>
      </c>
      <c r="O34" s="716">
        <f t="shared" si="10"/>
        <v>12</v>
      </c>
      <c r="P34" s="716">
        <f t="shared" si="10"/>
        <v>13</v>
      </c>
      <c r="Q34" s="716">
        <f t="shared" si="10"/>
        <v>14</v>
      </c>
      <c r="R34" s="716">
        <f t="shared" si="10"/>
        <v>15</v>
      </c>
      <c r="S34" s="716">
        <f t="shared" si="10"/>
        <v>16</v>
      </c>
      <c r="T34" s="716">
        <f t="shared" si="10"/>
        <v>17</v>
      </c>
      <c r="U34" s="716">
        <f t="shared" si="10"/>
        <v>18</v>
      </c>
      <c r="V34" s="716">
        <f t="shared" si="10"/>
        <v>19</v>
      </c>
      <c r="W34" s="716">
        <f t="shared" si="10"/>
        <v>20</v>
      </c>
      <c r="X34" s="716">
        <f t="shared" si="10"/>
        <v>21</v>
      </c>
      <c r="Y34" s="716">
        <f t="shared" si="10"/>
        <v>22</v>
      </c>
      <c r="Z34" s="716">
        <f t="shared" si="10"/>
        <v>23</v>
      </c>
      <c r="AA34" s="716">
        <f t="shared" si="10"/>
        <v>24</v>
      </c>
      <c r="AB34" s="716">
        <f t="shared" si="10"/>
        <v>25</v>
      </c>
      <c r="AC34" s="716">
        <f t="shared" si="10"/>
        <v>26</v>
      </c>
    </row>
    <row r="35" spans="2:29" s="720" customFormat="1" x14ac:dyDescent="0.2">
      <c r="B35" s="717" t="s">
        <v>1240</v>
      </c>
      <c r="C35" s="748" t="s">
        <v>68</v>
      </c>
      <c r="D35" s="749">
        <f>FC_WACC!D53/100</f>
        <v>0.11336171562496002</v>
      </c>
      <c r="E35" s="749">
        <f t="shared" ref="E35:AC35" si="11">D35</f>
        <v>0.11336171562496002</v>
      </c>
      <c r="F35" s="749">
        <f t="shared" si="11"/>
        <v>0.11336171562496002</v>
      </c>
      <c r="G35" s="749">
        <f t="shared" si="11"/>
        <v>0.11336171562496002</v>
      </c>
      <c r="H35" s="749">
        <f t="shared" si="11"/>
        <v>0.11336171562496002</v>
      </c>
      <c r="I35" s="749">
        <f t="shared" si="11"/>
        <v>0.11336171562496002</v>
      </c>
      <c r="J35" s="749">
        <f t="shared" si="11"/>
        <v>0.11336171562496002</v>
      </c>
      <c r="K35" s="749">
        <f t="shared" si="11"/>
        <v>0.11336171562496002</v>
      </c>
      <c r="L35" s="749">
        <f t="shared" si="11"/>
        <v>0.11336171562496002</v>
      </c>
      <c r="M35" s="749">
        <f t="shared" si="11"/>
        <v>0.11336171562496002</v>
      </c>
      <c r="N35" s="749">
        <f t="shared" si="11"/>
        <v>0.11336171562496002</v>
      </c>
      <c r="O35" s="749">
        <f t="shared" si="11"/>
        <v>0.11336171562496002</v>
      </c>
      <c r="P35" s="749">
        <f t="shared" si="11"/>
        <v>0.11336171562496002</v>
      </c>
      <c r="Q35" s="749">
        <f t="shared" si="11"/>
        <v>0.11336171562496002</v>
      </c>
      <c r="R35" s="749">
        <f t="shared" si="11"/>
        <v>0.11336171562496002</v>
      </c>
      <c r="S35" s="749">
        <f t="shared" si="11"/>
        <v>0.11336171562496002</v>
      </c>
      <c r="T35" s="749">
        <f t="shared" si="11"/>
        <v>0.11336171562496002</v>
      </c>
      <c r="U35" s="749">
        <f t="shared" si="11"/>
        <v>0.11336171562496002</v>
      </c>
      <c r="V35" s="749">
        <f t="shared" si="11"/>
        <v>0.11336171562496002</v>
      </c>
      <c r="W35" s="749">
        <f t="shared" si="11"/>
        <v>0.11336171562496002</v>
      </c>
      <c r="X35" s="749">
        <f t="shared" si="11"/>
        <v>0.11336171562496002</v>
      </c>
      <c r="Y35" s="749">
        <f t="shared" si="11"/>
        <v>0.11336171562496002</v>
      </c>
      <c r="Z35" s="749">
        <f t="shared" si="11"/>
        <v>0.11336171562496002</v>
      </c>
      <c r="AA35" s="749">
        <f t="shared" si="11"/>
        <v>0.11336171562496002</v>
      </c>
      <c r="AB35" s="749">
        <f t="shared" si="11"/>
        <v>0.11336171562496002</v>
      </c>
      <c r="AC35" s="749">
        <f t="shared" si="11"/>
        <v>0.11336171562496002</v>
      </c>
    </row>
    <row r="36" spans="2:29" x14ac:dyDescent="0.2">
      <c r="B36" s="739"/>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row>
    <row r="37" spans="2:29" x14ac:dyDescent="0.2">
      <c r="B37" s="738" t="s">
        <v>1267</v>
      </c>
      <c r="C37" s="707"/>
      <c r="D37" s="707"/>
      <c r="E37" s="707"/>
      <c r="F37" s="707"/>
      <c r="G37" s="707"/>
      <c r="H37" s="707"/>
      <c r="I37" s="707"/>
      <c r="J37" s="707"/>
      <c r="K37" s="707"/>
      <c r="L37" s="707"/>
      <c r="M37" s="707"/>
      <c r="N37" s="707"/>
      <c r="O37" s="707"/>
      <c r="P37" s="707"/>
      <c r="Q37" s="707"/>
      <c r="R37" s="707"/>
      <c r="S37" s="707"/>
      <c r="T37" s="707"/>
      <c r="U37" s="707"/>
      <c r="V37" s="707"/>
      <c r="W37" s="707"/>
      <c r="X37" s="707"/>
      <c r="Y37" s="707"/>
      <c r="Z37" s="707"/>
      <c r="AA37" s="707"/>
      <c r="AB37" s="707"/>
      <c r="AC37" s="707"/>
    </row>
    <row r="38" spans="2:29" x14ac:dyDescent="0.2">
      <c r="B38" s="714" t="s">
        <v>360</v>
      </c>
      <c r="C38" s="715" t="s">
        <v>1244</v>
      </c>
      <c r="D38" s="716">
        <f t="shared" ref="D38:AC38" si="12">D$5</f>
        <v>1</v>
      </c>
      <c r="E38" s="716">
        <f t="shared" si="12"/>
        <v>2</v>
      </c>
      <c r="F38" s="716">
        <f t="shared" si="12"/>
        <v>3</v>
      </c>
      <c r="G38" s="716">
        <f t="shared" si="12"/>
        <v>4</v>
      </c>
      <c r="H38" s="716">
        <f t="shared" si="12"/>
        <v>5</v>
      </c>
      <c r="I38" s="716">
        <f t="shared" si="12"/>
        <v>6</v>
      </c>
      <c r="J38" s="716">
        <f t="shared" si="12"/>
        <v>7</v>
      </c>
      <c r="K38" s="716">
        <f t="shared" si="12"/>
        <v>8</v>
      </c>
      <c r="L38" s="716">
        <f t="shared" si="12"/>
        <v>9</v>
      </c>
      <c r="M38" s="716">
        <f t="shared" si="12"/>
        <v>10</v>
      </c>
      <c r="N38" s="716">
        <f t="shared" si="12"/>
        <v>11</v>
      </c>
      <c r="O38" s="716">
        <f t="shared" si="12"/>
        <v>12</v>
      </c>
      <c r="P38" s="716">
        <f t="shared" si="12"/>
        <v>13</v>
      </c>
      <c r="Q38" s="716">
        <f t="shared" si="12"/>
        <v>14</v>
      </c>
      <c r="R38" s="716">
        <f t="shared" si="12"/>
        <v>15</v>
      </c>
      <c r="S38" s="716">
        <f t="shared" si="12"/>
        <v>16</v>
      </c>
      <c r="T38" s="716">
        <f t="shared" si="12"/>
        <v>17</v>
      </c>
      <c r="U38" s="716">
        <f t="shared" si="12"/>
        <v>18</v>
      </c>
      <c r="V38" s="716">
        <f t="shared" si="12"/>
        <v>19</v>
      </c>
      <c r="W38" s="716">
        <f t="shared" si="12"/>
        <v>20</v>
      </c>
      <c r="X38" s="716">
        <f t="shared" si="12"/>
        <v>21</v>
      </c>
      <c r="Y38" s="716">
        <f t="shared" si="12"/>
        <v>22</v>
      </c>
      <c r="Z38" s="716">
        <f t="shared" si="12"/>
        <v>23</v>
      </c>
      <c r="AA38" s="716">
        <f t="shared" si="12"/>
        <v>24</v>
      </c>
      <c r="AB38" s="716">
        <f t="shared" si="12"/>
        <v>25</v>
      </c>
      <c r="AC38" s="716">
        <f t="shared" si="12"/>
        <v>26</v>
      </c>
    </row>
    <row r="39" spans="2:29" x14ac:dyDescent="0.2">
      <c r="B39" s="717" t="s">
        <v>1268</v>
      </c>
      <c r="C39" s="750" t="s">
        <v>68</v>
      </c>
      <c r="D39" s="751">
        <v>0.4</v>
      </c>
      <c r="E39" s="752">
        <f t="shared" ref="E39:T40" si="13">$D39</f>
        <v>0.4</v>
      </c>
      <c r="F39" s="752">
        <f t="shared" si="13"/>
        <v>0.4</v>
      </c>
      <c r="G39" s="752">
        <f t="shared" si="13"/>
        <v>0.4</v>
      </c>
      <c r="H39" s="752">
        <f t="shared" si="13"/>
        <v>0.4</v>
      </c>
      <c r="I39" s="752">
        <f t="shared" si="13"/>
        <v>0.4</v>
      </c>
      <c r="J39" s="752">
        <f t="shared" si="13"/>
        <v>0.4</v>
      </c>
      <c r="K39" s="752">
        <f t="shared" si="13"/>
        <v>0.4</v>
      </c>
      <c r="L39" s="752">
        <f t="shared" si="13"/>
        <v>0.4</v>
      </c>
      <c r="M39" s="752">
        <f t="shared" si="13"/>
        <v>0.4</v>
      </c>
      <c r="N39" s="752">
        <f t="shared" si="13"/>
        <v>0.4</v>
      </c>
      <c r="O39" s="752">
        <f t="shared" si="13"/>
        <v>0.4</v>
      </c>
      <c r="P39" s="752">
        <f t="shared" si="13"/>
        <v>0.4</v>
      </c>
      <c r="Q39" s="752">
        <f t="shared" si="13"/>
        <v>0.4</v>
      </c>
      <c r="R39" s="752">
        <f t="shared" si="13"/>
        <v>0.4</v>
      </c>
      <c r="S39" s="752">
        <f t="shared" si="13"/>
        <v>0.4</v>
      </c>
      <c r="T39" s="752">
        <f t="shared" si="13"/>
        <v>0.4</v>
      </c>
      <c r="U39" s="752">
        <f t="shared" ref="U39:AC40" si="14">$D39</f>
        <v>0.4</v>
      </c>
      <c r="V39" s="752">
        <f t="shared" si="14"/>
        <v>0.4</v>
      </c>
      <c r="W39" s="752">
        <f t="shared" si="14"/>
        <v>0.4</v>
      </c>
      <c r="X39" s="752">
        <f t="shared" si="14"/>
        <v>0.4</v>
      </c>
      <c r="Y39" s="752">
        <f t="shared" si="14"/>
        <v>0.4</v>
      </c>
      <c r="Z39" s="752">
        <f t="shared" si="14"/>
        <v>0.4</v>
      </c>
      <c r="AA39" s="752">
        <f t="shared" si="14"/>
        <v>0.4</v>
      </c>
      <c r="AB39" s="752">
        <f t="shared" si="14"/>
        <v>0.4</v>
      </c>
      <c r="AC39" s="752">
        <f t="shared" si="14"/>
        <v>0.4</v>
      </c>
    </row>
    <row r="40" spans="2:29" x14ac:dyDescent="0.2">
      <c r="B40" s="717" t="s">
        <v>1269</v>
      </c>
      <c r="C40" s="750" t="s">
        <v>68</v>
      </c>
      <c r="D40" s="751">
        <f>1-D39</f>
        <v>0.6</v>
      </c>
      <c r="E40" s="752">
        <f>$D40</f>
        <v>0.6</v>
      </c>
      <c r="F40" s="752">
        <f t="shared" si="13"/>
        <v>0.6</v>
      </c>
      <c r="G40" s="752">
        <f t="shared" si="13"/>
        <v>0.6</v>
      </c>
      <c r="H40" s="752">
        <f t="shared" si="13"/>
        <v>0.6</v>
      </c>
      <c r="I40" s="752">
        <f t="shared" si="13"/>
        <v>0.6</v>
      </c>
      <c r="J40" s="752">
        <f t="shared" si="13"/>
        <v>0.6</v>
      </c>
      <c r="K40" s="752">
        <f t="shared" si="13"/>
        <v>0.6</v>
      </c>
      <c r="L40" s="752">
        <f t="shared" si="13"/>
        <v>0.6</v>
      </c>
      <c r="M40" s="752">
        <f t="shared" si="13"/>
        <v>0.6</v>
      </c>
      <c r="N40" s="752">
        <f t="shared" si="13"/>
        <v>0.6</v>
      </c>
      <c r="O40" s="752">
        <f t="shared" si="13"/>
        <v>0.6</v>
      </c>
      <c r="P40" s="752">
        <f t="shared" si="13"/>
        <v>0.6</v>
      </c>
      <c r="Q40" s="752">
        <f t="shared" si="13"/>
        <v>0.6</v>
      </c>
      <c r="R40" s="752">
        <f t="shared" si="13"/>
        <v>0.6</v>
      </c>
      <c r="S40" s="752">
        <f t="shared" si="13"/>
        <v>0.6</v>
      </c>
      <c r="T40" s="752">
        <f t="shared" si="13"/>
        <v>0.6</v>
      </c>
      <c r="U40" s="752">
        <f t="shared" si="14"/>
        <v>0.6</v>
      </c>
      <c r="V40" s="752">
        <f t="shared" si="14"/>
        <v>0.6</v>
      </c>
      <c r="W40" s="752">
        <f t="shared" si="14"/>
        <v>0.6</v>
      </c>
      <c r="X40" s="752">
        <f t="shared" si="14"/>
        <v>0.6</v>
      </c>
      <c r="Y40" s="752">
        <f t="shared" si="14"/>
        <v>0.6</v>
      </c>
      <c r="Z40" s="752">
        <f t="shared" si="14"/>
        <v>0.6</v>
      </c>
      <c r="AA40" s="752">
        <f t="shared" si="14"/>
        <v>0.6</v>
      </c>
      <c r="AB40" s="752">
        <f t="shared" si="14"/>
        <v>0.6</v>
      </c>
      <c r="AC40" s="752">
        <f t="shared" si="14"/>
        <v>0.6</v>
      </c>
    </row>
    <row r="41" spans="2:29" x14ac:dyDescent="0.2">
      <c r="B41" s="739"/>
      <c r="C41" s="707"/>
      <c r="D41" s="707"/>
      <c r="E41" s="707"/>
      <c r="F41" s="707"/>
      <c r="G41" s="707"/>
      <c r="H41" s="707"/>
      <c r="I41" s="707"/>
      <c r="J41" s="707"/>
      <c r="K41" s="707"/>
      <c r="L41" s="707"/>
      <c r="M41" s="707"/>
      <c r="N41" s="707"/>
      <c r="O41" s="707"/>
      <c r="P41" s="707"/>
      <c r="Q41" s="707"/>
      <c r="R41" s="707"/>
      <c r="S41" s="707"/>
      <c r="T41" s="707"/>
      <c r="U41" s="707"/>
      <c r="V41" s="707"/>
      <c r="W41" s="707"/>
      <c r="X41" s="707"/>
      <c r="Y41" s="707"/>
      <c r="Z41" s="707"/>
      <c r="AA41" s="707"/>
      <c r="AB41" s="707"/>
      <c r="AC41" s="707"/>
    </row>
    <row r="43" spans="2:29" x14ac:dyDescent="0.2">
      <c r="L43" s="753"/>
    </row>
    <row r="46" spans="2:29" x14ac:dyDescent="0.2">
      <c r="D46" s="964"/>
      <c r="E46" s="964"/>
      <c r="F46" s="964"/>
      <c r="G46" s="964"/>
      <c r="H46" s="964"/>
      <c r="I46" s="964"/>
      <c r="J46" s="964"/>
      <c r="K46" s="964"/>
      <c r="L46" s="964"/>
      <c r="M46" s="964"/>
      <c r="N46" s="964"/>
      <c r="O46" s="964"/>
      <c r="P46" s="964"/>
      <c r="Q46" s="964"/>
      <c r="R46" s="964"/>
    </row>
    <row r="47" spans="2:29" x14ac:dyDescent="0.2">
      <c r="D47" s="964"/>
      <c r="E47" s="964"/>
      <c r="F47" s="964"/>
      <c r="G47" s="964"/>
      <c r="H47" s="964"/>
      <c r="I47" s="964"/>
      <c r="J47" s="964"/>
      <c r="K47" s="964"/>
      <c r="L47" s="964"/>
      <c r="M47" s="964"/>
      <c r="N47" s="964"/>
      <c r="O47" s="964"/>
      <c r="P47" s="964"/>
      <c r="Q47" s="964"/>
      <c r="R47" s="964"/>
    </row>
    <row r="48" spans="2:29" x14ac:dyDescent="0.2">
      <c r="D48" s="963"/>
      <c r="E48" s="963"/>
      <c r="F48" s="963"/>
      <c r="G48" s="963"/>
      <c r="H48" s="963"/>
      <c r="I48" s="963"/>
      <c r="J48" s="963"/>
      <c r="K48" s="963"/>
      <c r="L48" s="963"/>
      <c r="M48" s="963"/>
      <c r="N48" s="963"/>
      <c r="O48" s="963"/>
      <c r="P48" s="963"/>
      <c r="Q48" s="963"/>
      <c r="R48" s="963"/>
    </row>
    <row r="53" spans="3:29" x14ac:dyDescent="0.2">
      <c r="C53" s="753"/>
      <c r="E53" s="753"/>
      <c r="F53" s="753"/>
      <c r="G53" s="753"/>
      <c r="H53" s="753"/>
      <c r="I53" s="753"/>
      <c r="J53" s="753"/>
      <c r="K53" s="753"/>
      <c r="L53" s="753"/>
      <c r="M53" s="753"/>
      <c r="N53" s="753"/>
      <c r="O53" s="753"/>
      <c r="P53" s="753"/>
      <c r="Q53" s="753"/>
      <c r="R53" s="753"/>
      <c r="S53" s="753"/>
      <c r="T53" s="753"/>
      <c r="U53" s="753"/>
      <c r="V53" s="753"/>
      <c r="W53" s="753"/>
      <c r="X53" s="753"/>
      <c r="Y53" s="753"/>
      <c r="Z53" s="753"/>
      <c r="AA53" s="753"/>
      <c r="AB53" s="753"/>
      <c r="AC53" s="753"/>
    </row>
  </sheetData>
  <sheetProtection algorithmName="SHA-512" hashValue="dJmxcV9HSVj6kVrGHMDTLHn0ZsbSF0jtNs3SzgFQ8UbhJjPw3ah+GUPrjaN9ggit1bjqmTJ/gLMS2kL4Kwgg9g==" saltValue="MS0i35nGoZNrTE7JYj65XQ==" spinCount="100000" sheet="1" objects="1" scenarios="1"/>
  <conditionalFormatting sqref="D21:AC27">
    <cfRule type="cellIs" dxfId="22" priority="3" operator="equal">
      <formula>0</formula>
    </cfRule>
  </conditionalFormatting>
  <pageMargins left="0.511811024" right="0.511811024" top="0.78740157499999996" bottom="0.78740157499999996" header="0.31496062000000002" footer="0.31496062000000002"/>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3A76-EEAA-4F72-8F22-BCC1E6957CC9}">
  <sheetPr>
    <tabColor theme="6" tint="0.39997558519241921"/>
    <pageSetUpPr fitToPage="1"/>
  </sheetPr>
  <dimension ref="A1:AH51"/>
  <sheetViews>
    <sheetView view="pageBreakPreview" zoomScale="70" zoomScaleNormal="85" zoomScaleSheetLayoutView="70" workbookViewId="0"/>
  </sheetViews>
  <sheetFormatPr defaultColWidth="10.140625" defaultRowHeight="12.75" x14ac:dyDescent="0.2"/>
  <cols>
    <col min="1" max="1" width="12.85546875" style="754" bestFit="1" customWidth="1"/>
    <col min="2" max="2" width="38" style="701" bestFit="1" customWidth="1"/>
    <col min="3" max="13" width="10.85546875" style="701" customWidth="1"/>
    <col min="14" max="22" width="10.85546875" style="688" customWidth="1"/>
    <col min="23" max="27" width="10.140625" style="688" customWidth="1"/>
    <col min="28" max="32" width="10.140625" style="688"/>
    <col min="33" max="33" width="11" style="597" bestFit="1" customWidth="1"/>
    <col min="34" max="36" width="11" style="688" bestFit="1" customWidth="1"/>
    <col min="37" max="37" width="10.7109375" style="688" bestFit="1" customWidth="1"/>
    <col min="38" max="39" width="11" style="688" bestFit="1" customWidth="1"/>
    <col min="40" max="40" width="10.7109375" style="688" bestFit="1" customWidth="1"/>
    <col min="41" max="41" width="11" style="688" bestFit="1" customWidth="1"/>
    <col min="42" max="42" width="10.7109375" style="688" bestFit="1" customWidth="1"/>
    <col min="43" max="16384" width="10.140625" style="688"/>
  </cols>
  <sheetData>
    <row r="1" spans="1:34" ht="15" x14ac:dyDescent="0.25">
      <c r="B1" s="560" t="s">
        <v>1182</v>
      </c>
    </row>
    <row r="3" spans="1:34" x14ac:dyDescent="0.2">
      <c r="A3" s="755" t="s">
        <v>1074</v>
      </c>
      <c r="B3" s="756" t="s">
        <v>360</v>
      </c>
      <c r="C3" s="757">
        <f>FC_Premissas!D$5</f>
        <v>1</v>
      </c>
      <c r="D3" s="757">
        <f>FC_Premissas!E$5</f>
        <v>2</v>
      </c>
      <c r="E3" s="757">
        <f>FC_Premissas!F$5</f>
        <v>3</v>
      </c>
      <c r="F3" s="757">
        <f>FC_Premissas!G$5</f>
        <v>4</v>
      </c>
      <c r="G3" s="757">
        <f>FC_Premissas!H$5</f>
        <v>5</v>
      </c>
      <c r="H3" s="757">
        <f>FC_Premissas!I$5</f>
        <v>6</v>
      </c>
      <c r="I3" s="757">
        <f>FC_Premissas!J$5</f>
        <v>7</v>
      </c>
      <c r="J3" s="757">
        <f>FC_Premissas!K$5</f>
        <v>8</v>
      </c>
      <c r="K3" s="757">
        <f>FC_Premissas!L$5</f>
        <v>9</v>
      </c>
      <c r="L3" s="757">
        <f>FC_Premissas!M$5</f>
        <v>10</v>
      </c>
      <c r="M3" s="757">
        <f>FC_Premissas!N$5</f>
        <v>11</v>
      </c>
      <c r="N3" s="757">
        <f>FC_Premissas!O$5</f>
        <v>12</v>
      </c>
      <c r="O3" s="757">
        <f>FC_Premissas!P$5</f>
        <v>13</v>
      </c>
      <c r="P3" s="757">
        <f>FC_Premissas!Q$5</f>
        <v>14</v>
      </c>
      <c r="Q3" s="757">
        <f>FC_Premissas!R$5</f>
        <v>15</v>
      </c>
      <c r="R3" s="757">
        <f>FC_Premissas!S$5</f>
        <v>16</v>
      </c>
      <c r="S3" s="757">
        <f>FC_Premissas!T$5</f>
        <v>17</v>
      </c>
      <c r="T3" s="757">
        <f>FC_Premissas!U$5</f>
        <v>18</v>
      </c>
      <c r="U3" s="757">
        <f>FC_Premissas!V$5</f>
        <v>19</v>
      </c>
      <c r="V3" s="757">
        <f>FC_Premissas!W$5</f>
        <v>20</v>
      </c>
      <c r="W3" s="757">
        <f>FC_Premissas!X$5</f>
        <v>21</v>
      </c>
      <c r="X3" s="757">
        <f>FC_Premissas!Y$5</f>
        <v>22</v>
      </c>
      <c r="Y3" s="757">
        <f>FC_Premissas!Z$5</f>
        <v>23</v>
      </c>
      <c r="Z3" s="757">
        <f>FC_Premissas!AA$5</f>
        <v>24</v>
      </c>
      <c r="AA3" s="757">
        <f>FC_Premissas!AB$5</f>
        <v>25</v>
      </c>
    </row>
    <row r="4" spans="1:34" s="696" customFormat="1" x14ac:dyDescent="0.2">
      <c r="A4" s="758">
        <f t="shared" ref="A4:A40" si="0">SUM(C4:AA4)</f>
        <v>23557060</v>
      </c>
      <c r="B4" s="759" t="s">
        <v>1271</v>
      </c>
      <c r="C4" s="760">
        <f>IF(C$3&gt;'Resultados_Tarifa e TIR'!$B$12,"",FC_Premissas!D9*1000)</f>
        <v>954572</v>
      </c>
      <c r="D4" s="760">
        <f>IF(D$3&gt;'Resultados_Tarifa e TIR'!$B$12,"",FC_Premissas!E9*1000)</f>
        <v>1169760</v>
      </c>
      <c r="E4" s="760">
        <f>IF(E$3&gt;'Resultados_Tarifa e TIR'!$B$12,"",FC_Premissas!F9*1000)</f>
        <v>1384908</v>
      </c>
      <c r="F4" s="760">
        <f>IF(F$3&gt;'Resultados_Tarifa e TIR'!$B$12,"",FC_Premissas!G9*1000)</f>
        <v>1500112</v>
      </c>
      <c r="G4" s="760">
        <f>IF(G$3&gt;'Resultados_Tarifa e TIR'!$B$12,"",FC_Premissas!H9*1000)</f>
        <v>1532064</v>
      </c>
      <c r="H4" s="760">
        <f>IF(H$3&gt;'Resultados_Tarifa e TIR'!$B$12,"",FC_Premissas!I9*1000)</f>
        <v>1561936</v>
      </c>
      <c r="I4" s="760">
        <f>IF(I$3&gt;'Resultados_Tarifa e TIR'!$B$12,"",FC_Premissas!J9*1000)</f>
        <v>1593888</v>
      </c>
      <c r="J4" s="760">
        <f>IF(J$3&gt;'Resultados_Tarifa e TIR'!$B$12,"",FC_Premissas!K9*1000)</f>
        <v>1623764</v>
      </c>
      <c r="K4" s="760">
        <f>IF(K$3&gt;'Resultados_Tarifa e TIR'!$B$12,"",FC_Premissas!L9*1000)</f>
        <v>1655712</v>
      </c>
      <c r="L4" s="760">
        <f>IF(L$3&gt;'Resultados_Tarifa e TIR'!$B$12,"",FC_Premissas!M9*1000)</f>
        <v>1685592</v>
      </c>
      <c r="M4" s="760">
        <f>IF(M$3&gt;'Resultados_Tarifa e TIR'!$B$12,"",FC_Premissas!N9*1000)</f>
        <v>1717536</v>
      </c>
      <c r="N4" s="760">
        <f>IF(N$3&gt;'Resultados_Tarifa e TIR'!$B$12,"",FC_Premissas!O9*1000)</f>
        <v>1747420</v>
      </c>
      <c r="O4" s="760">
        <f>IF(O$3&gt;'Resultados_Tarifa e TIR'!$B$12,"",FC_Premissas!P9*1000)</f>
        <v>1779360</v>
      </c>
      <c r="P4" s="760">
        <f>IF(P$3&gt;'Resultados_Tarifa e TIR'!$B$12,"",FC_Premissas!Q9*1000)</f>
        <v>1809248</v>
      </c>
      <c r="Q4" s="760">
        <f>IF(Q$3&gt;'Resultados_Tarifa e TIR'!$B$12,"",FC_Premissas!R9*1000)</f>
        <v>1841188</v>
      </c>
      <c r="R4" s="760" t="str">
        <f>IF(R$3&gt;'Resultados_Tarifa e TIR'!$B$12,"",FC_Premissas!S9*1000)</f>
        <v/>
      </c>
      <c r="S4" s="760" t="str">
        <f>IF(S$3&gt;'Resultados_Tarifa e TIR'!$B$12,"",FC_Premissas!T9*1000)</f>
        <v/>
      </c>
      <c r="T4" s="760" t="str">
        <f>IF(T$3&gt;'Resultados_Tarifa e TIR'!$B$12,"",FC_Premissas!U9*1000)</f>
        <v/>
      </c>
      <c r="U4" s="760" t="str">
        <f>IF(U$3&gt;'Resultados_Tarifa e TIR'!$B$12,"",FC_Premissas!V9*1000)</f>
        <v/>
      </c>
      <c r="V4" s="760" t="str">
        <f>IF(V$3&gt;'Resultados_Tarifa e TIR'!$B$12,"",FC_Premissas!W9*1000)</f>
        <v/>
      </c>
      <c r="W4" s="760" t="str">
        <f>IF(W$3&gt;'Resultados_Tarifa e TIR'!$B$12,"",FC_Premissas!X9*1000)</f>
        <v/>
      </c>
      <c r="X4" s="760" t="str">
        <f>IF(X$3&gt;'Resultados_Tarifa e TIR'!$B$12,"",FC_Premissas!Y9*1000)</f>
        <v/>
      </c>
      <c r="Y4" s="760" t="str">
        <f>IF(Y$3&gt;'Resultados_Tarifa e TIR'!$B$12,"",FC_Premissas!Z9*1000)</f>
        <v/>
      </c>
      <c r="Z4" s="760" t="str">
        <f>IF(Z$3&gt;'Resultados_Tarifa e TIR'!$B$12,"",FC_Premissas!AA9*1000)</f>
        <v/>
      </c>
      <c r="AA4" s="760" t="str">
        <f>IF(AA$3&gt;'Resultados_Tarifa e TIR'!$B$12,"",FC_Premissas!AB9*1000)</f>
        <v/>
      </c>
      <c r="AG4" s="604"/>
    </row>
    <row r="5" spans="1:34" s="696" customFormat="1" x14ac:dyDescent="0.2">
      <c r="A5" s="758">
        <f t="shared" si="0"/>
        <v>730693.20424203388</v>
      </c>
      <c r="B5" s="759" t="s">
        <v>1252</v>
      </c>
      <c r="C5" s="760">
        <f>IF(C$3&gt;'Resultados_Tarifa e TIR'!$B$12,"",FC_Premissas!D11*1000)</f>
        <v>48712.880282802245</v>
      </c>
      <c r="D5" s="760">
        <f>IF(D$3&gt;'Resultados_Tarifa e TIR'!$B$12,"",FC_Premissas!E11*1000)</f>
        <v>48712.880282802245</v>
      </c>
      <c r="E5" s="760">
        <f>IF(E$3&gt;'Resultados_Tarifa e TIR'!$B$12,"",FC_Premissas!F11*1000)</f>
        <v>48712.880282802245</v>
      </c>
      <c r="F5" s="760">
        <f>IF(F$3&gt;'Resultados_Tarifa e TIR'!$B$12,"",FC_Premissas!G11*1000)</f>
        <v>48712.880282802245</v>
      </c>
      <c r="G5" s="760">
        <f>IF(G$3&gt;'Resultados_Tarifa e TIR'!$B$12,"",FC_Premissas!H11*1000)</f>
        <v>48712.880282802245</v>
      </c>
      <c r="H5" s="760">
        <f>IF(H$3&gt;'Resultados_Tarifa e TIR'!$B$12,"",FC_Premissas!I11*1000)</f>
        <v>48712.880282802245</v>
      </c>
      <c r="I5" s="760">
        <f>IF(I$3&gt;'Resultados_Tarifa e TIR'!$B$12,"",FC_Premissas!J11*1000)</f>
        <v>48712.880282802245</v>
      </c>
      <c r="J5" s="760">
        <f>IF(J$3&gt;'Resultados_Tarifa e TIR'!$B$12,"",FC_Premissas!K11*1000)</f>
        <v>48712.880282802245</v>
      </c>
      <c r="K5" s="760">
        <f>IF(K$3&gt;'Resultados_Tarifa e TIR'!$B$12,"",FC_Premissas!L11*1000)</f>
        <v>48712.880282802245</v>
      </c>
      <c r="L5" s="760">
        <f>IF(L$3&gt;'Resultados_Tarifa e TIR'!$B$12,"",FC_Premissas!M11*1000)</f>
        <v>48712.880282802245</v>
      </c>
      <c r="M5" s="760">
        <f>IF(M$3&gt;'Resultados_Tarifa e TIR'!$B$12,"",FC_Premissas!N11*1000)</f>
        <v>48712.880282802245</v>
      </c>
      <c r="N5" s="760">
        <f>IF(N$3&gt;'Resultados_Tarifa e TIR'!$B$12,"",FC_Premissas!O11*1000)</f>
        <v>48712.880282802245</v>
      </c>
      <c r="O5" s="760">
        <f>IF(O$3&gt;'Resultados_Tarifa e TIR'!$B$12,"",FC_Premissas!P11*1000)</f>
        <v>48712.880282802245</v>
      </c>
      <c r="P5" s="760">
        <f>IF(P$3&gt;'Resultados_Tarifa e TIR'!$B$12,"",FC_Premissas!Q11*1000)</f>
        <v>48712.880282802245</v>
      </c>
      <c r="Q5" s="760">
        <f>IF(Q$3&gt;'Resultados_Tarifa e TIR'!$B$12,"",FC_Premissas!R11*1000)</f>
        <v>48712.880282802245</v>
      </c>
      <c r="R5" s="760" t="str">
        <f>IF(R$3&gt;'Resultados_Tarifa e TIR'!$B$12,"",FC_Premissas!S11*1000)</f>
        <v/>
      </c>
      <c r="S5" s="760" t="str">
        <f>IF(S$3&gt;'Resultados_Tarifa e TIR'!$B$12,"",FC_Premissas!T11*1000)</f>
        <v/>
      </c>
      <c r="T5" s="760" t="str">
        <f>IF(T$3&gt;'Resultados_Tarifa e TIR'!$B$12,"",FC_Premissas!U11*1000)</f>
        <v/>
      </c>
      <c r="U5" s="760" t="str">
        <f>IF(U$3&gt;'Resultados_Tarifa e TIR'!$B$12,"",FC_Premissas!V11*1000)</f>
        <v/>
      </c>
      <c r="V5" s="760" t="str">
        <f>IF(V$3&gt;'Resultados_Tarifa e TIR'!$B$12,"",FC_Premissas!W11*1000)</f>
        <v/>
      </c>
      <c r="W5" s="760" t="str">
        <f>IF(W$3&gt;'Resultados_Tarifa e TIR'!$B$12,"",FC_Premissas!X11*1000)</f>
        <v/>
      </c>
      <c r="X5" s="760" t="str">
        <f>IF(X$3&gt;'Resultados_Tarifa e TIR'!$B$12,"",FC_Premissas!Y11*1000)</f>
        <v/>
      </c>
      <c r="Y5" s="760" t="str">
        <f>IF(Y$3&gt;'Resultados_Tarifa e TIR'!$B$12,"",FC_Premissas!Z11*1000)</f>
        <v/>
      </c>
      <c r="Z5" s="760" t="str">
        <f>IF(Z$3&gt;'Resultados_Tarifa e TIR'!$B$12,"",FC_Premissas!AA11*1000)</f>
        <v/>
      </c>
      <c r="AA5" s="760" t="str">
        <f>IF(AA$3&gt;'Resultados_Tarifa e TIR'!$B$12,"",FC_Premissas!AB11*1000)</f>
        <v/>
      </c>
      <c r="AF5" s="688"/>
      <c r="AG5" s="597"/>
      <c r="AH5" s="688"/>
    </row>
    <row r="6" spans="1:34" x14ac:dyDescent="0.2">
      <c r="A6" s="761">
        <f>SUM(C6:AA6)</f>
        <v>24287753.204242028</v>
      </c>
      <c r="B6" s="762" t="s">
        <v>1272</v>
      </c>
      <c r="C6" s="763">
        <f>IF(C$3&gt;'Resultados_Tarifa e TIR'!$B$12,"",SUM(C4:C5))</f>
        <v>1003284.8802828023</v>
      </c>
      <c r="D6" s="763">
        <f>IF(D$3&gt;'Resultados_Tarifa e TIR'!$B$12,"",SUM(D4:D5))</f>
        <v>1218472.8802828023</v>
      </c>
      <c r="E6" s="763">
        <f>IF(E$3&gt;'Resultados_Tarifa e TIR'!$B$12,"",SUM(E4:E5))</f>
        <v>1433620.8802828023</v>
      </c>
      <c r="F6" s="763">
        <f>IF(F$3&gt;'Resultados_Tarifa e TIR'!$B$12,"",SUM(F4:F5))</f>
        <v>1548824.8802828023</v>
      </c>
      <c r="G6" s="763">
        <f>IF(G$3&gt;'Resultados_Tarifa e TIR'!$B$12,"",SUM(G4:G5))</f>
        <v>1580776.8802828023</v>
      </c>
      <c r="H6" s="763">
        <f>IF(H$3&gt;'Resultados_Tarifa e TIR'!$B$12,"",SUM(H4:H5))</f>
        <v>1610648.8802828023</v>
      </c>
      <c r="I6" s="763">
        <f>IF(I$3&gt;'Resultados_Tarifa e TIR'!$B$12,"",SUM(I4:I5))</f>
        <v>1642600.8802828023</v>
      </c>
      <c r="J6" s="763">
        <f>IF(J$3&gt;'Resultados_Tarifa e TIR'!$B$12,"",SUM(J4:J5))</f>
        <v>1672476.8802828023</v>
      </c>
      <c r="K6" s="763">
        <f>IF(K$3&gt;'Resultados_Tarifa e TIR'!$B$12,"",SUM(K4:K5))</f>
        <v>1704424.8802828023</v>
      </c>
      <c r="L6" s="763">
        <f>IF(L$3&gt;'Resultados_Tarifa e TIR'!$B$12,"",SUM(L4:L5))</f>
        <v>1734304.8802828023</v>
      </c>
      <c r="M6" s="763">
        <f>IF(M$3&gt;'Resultados_Tarifa e TIR'!$B$12,"",SUM(M4:M5))</f>
        <v>1766248.8802828023</v>
      </c>
      <c r="N6" s="763">
        <f>IF(N$3&gt;'Resultados_Tarifa e TIR'!$B$12,"",SUM(N4:N5))</f>
        <v>1796132.8802828023</v>
      </c>
      <c r="O6" s="763">
        <f>IF(O$3&gt;'Resultados_Tarifa e TIR'!$B$12,"",SUM(O4:O5))</f>
        <v>1828072.8802828023</v>
      </c>
      <c r="P6" s="763">
        <f>IF(P$3&gt;'Resultados_Tarifa e TIR'!$B$12,"",SUM(P4:P5))</f>
        <v>1857960.8802828023</v>
      </c>
      <c r="Q6" s="763">
        <f>IF(Q$3&gt;'Resultados_Tarifa e TIR'!$B$12,"",SUM(Q4:Q5))</f>
        <v>1889900.8802828023</v>
      </c>
      <c r="R6" s="763" t="str">
        <f>IF(R$3&gt;'Resultados_Tarifa e TIR'!$B$12,"",SUM(R4:R5))</f>
        <v/>
      </c>
      <c r="S6" s="763" t="str">
        <f>IF(S$3&gt;'Resultados_Tarifa e TIR'!$B$12,"",SUM(S4:S5))</f>
        <v/>
      </c>
      <c r="T6" s="763" t="str">
        <f>IF(T$3&gt;'Resultados_Tarifa e TIR'!$B$12,"",SUM(T4:T5))</f>
        <v/>
      </c>
      <c r="U6" s="763" t="str">
        <f>IF(U$3&gt;'Resultados_Tarifa e TIR'!$B$12,"",SUM(U4:U5))</f>
        <v/>
      </c>
      <c r="V6" s="763" t="str">
        <f>IF(V$3&gt;'Resultados_Tarifa e TIR'!$B$12,"",SUM(V4:V5))</f>
        <v/>
      </c>
      <c r="W6" s="763" t="str">
        <f>IF(W$3&gt;'Resultados_Tarifa e TIR'!$B$12,"",SUM(W4:W5))</f>
        <v/>
      </c>
      <c r="X6" s="763" t="str">
        <f>IF(X$3&gt;'Resultados_Tarifa e TIR'!$B$12,"",SUM(X4:X5))</f>
        <v/>
      </c>
      <c r="Y6" s="763" t="str">
        <f>IF(Y$3&gt;'Resultados_Tarifa e TIR'!$B$12,"",SUM(Y4:Y5))</f>
        <v/>
      </c>
      <c r="Z6" s="763" t="str">
        <f>IF(Z$3&gt;'Resultados_Tarifa e TIR'!$B$12,"",SUM(Z4:Z5))</f>
        <v/>
      </c>
      <c r="AA6" s="763" t="str">
        <f>IF(AA$3&gt;'Resultados_Tarifa e TIR'!$B$12,"",SUM(AA4:AA5))</f>
        <v/>
      </c>
      <c r="AF6" s="696"/>
      <c r="AG6" s="604"/>
      <c r="AH6" s="696"/>
    </row>
    <row r="7" spans="1:34" s="696" customFormat="1" x14ac:dyDescent="0.2">
      <c r="A7" s="758">
        <f t="shared" si="0"/>
        <v>53445566.395974338</v>
      </c>
      <c r="B7" s="759" t="s">
        <v>1251</v>
      </c>
      <c r="C7" s="760">
        <f>IF(C$3&gt;'Resultados_Tarifa e TIR'!$B$12,"",FC_Premissas!D10*1000)</f>
        <v>4178936.4263982889</v>
      </c>
      <c r="D7" s="760">
        <f>IF(D$3&gt;'Resultados_Tarifa e TIR'!$B$12,"",FC_Premissas!E10*1000)</f>
        <v>3963748.4263982885</v>
      </c>
      <c r="E7" s="760">
        <f>IF(E$3&gt;'Resultados_Tarifa e TIR'!$B$12,"",FC_Premissas!F10*1000)</f>
        <v>3748600.4263982885</v>
      </c>
      <c r="F7" s="760">
        <f>IF(F$3&gt;'Resultados_Tarifa e TIR'!$B$12,"",FC_Premissas!G10*1000)</f>
        <v>3633396.4263982885</v>
      </c>
      <c r="G7" s="760">
        <f>IF(G$3&gt;'Resultados_Tarifa e TIR'!$B$12,"",FC_Premissas!H10*1000)</f>
        <v>3601444.4263982885</v>
      </c>
      <c r="H7" s="760">
        <f>IF(H$3&gt;'Resultados_Tarifa e TIR'!$B$12,"",FC_Premissas!I10*1000)</f>
        <v>3571572.4263982885</v>
      </c>
      <c r="I7" s="760">
        <f>IF(I$3&gt;'Resultados_Tarifa e TIR'!$B$12,"",FC_Premissas!J10*1000)</f>
        <v>3539620.4263982885</v>
      </c>
      <c r="J7" s="760">
        <f>IF(J$3&gt;'Resultados_Tarifa e TIR'!$B$12,"",FC_Premissas!K10*1000)</f>
        <v>3509744.4263982885</v>
      </c>
      <c r="K7" s="760">
        <f>IF(K$3&gt;'Resultados_Tarifa e TIR'!$B$12,"",FC_Premissas!L10*1000)</f>
        <v>3477796.4263982885</v>
      </c>
      <c r="L7" s="760">
        <f>IF(L$3&gt;'Resultados_Tarifa e TIR'!$B$12,"",FC_Premissas!M10*1000)</f>
        <v>3447916.4263982885</v>
      </c>
      <c r="M7" s="760">
        <f>IF(M$3&gt;'Resultados_Tarifa e TIR'!$B$12,"",FC_Premissas!N10*1000)</f>
        <v>3415972.4263982885</v>
      </c>
      <c r="N7" s="760">
        <f>IF(N$3&gt;'Resultados_Tarifa e TIR'!$B$12,"",FC_Premissas!O10*1000)</f>
        <v>3386088.4263982885</v>
      </c>
      <c r="O7" s="760">
        <f>IF(O$3&gt;'Resultados_Tarifa e TIR'!$B$12,"",FC_Premissas!P10*1000)</f>
        <v>3354148.4263982885</v>
      </c>
      <c r="P7" s="760">
        <f>IF(P$3&gt;'Resultados_Tarifa e TIR'!$B$12,"",FC_Premissas!Q10*1000)</f>
        <v>3324260.4263982885</v>
      </c>
      <c r="Q7" s="760">
        <f>IF(Q$3&gt;'Resultados_Tarifa e TIR'!$B$12,"",FC_Premissas!R10*1000)</f>
        <v>3292320.4263982885</v>
      </c>
      <c r="R7" s="760" t="str">
        <f>IF(R$3&gt;'Resultados_Tarifa e TIR'!$B$12,"",FC_Premissas!S10*1000)</f>
        <v/>
      </c>
      <c r="S7" s="760" t="str">
        <f>IF(S$3&gt;'Resultados_Tarifa e TIR'!$B$12,"",FC_Premissas!T10*1000)</f>
        <v/>
      </c>
      <c r="T7" s="760" t="str">
        <f>IF(T$3&gt;'Resultados_Tarifa e TIR'!$B$12,"",FC_Premissas!U10*1000)</f>
        <v/>
      </c>
      <c r="U7" s="760" t="str">
        <f>IF(U$3&gt;'Resultados_Tarifa e TIR'!$B$12,"",FC_Premissas!V10*1000)</f>
        <v/>
      </c>
      <c r="V7" s="760" t="str">
        <f>IF(V$3&gt;'Resultados_Tarifa e TIR'!$B$12,"",FC_Premissas!W10*1000)</f>
        <v/>
      </c>
      <c r="W7" s="760" t="str">
        <f>IF(W$3&gt;'Resultados_Tarifa e TIR'!$B$12,"",FC_Premissas!X10*1000)</f>
        <v/>
      </c>
      <c r="X7" s="760" t="str">
        <f>IF(X$3&gt;'Resultados_Tarifa e TIR'!$B$12,"",FC_Premissas!Y10*1000)</f>
        <v/>
      </c>
      <c r="Y7" s="760" t="str">
        <f>IF(Y$3&gt;'Resultados_Tarifa e TIR'!$B$12,"",FC_Premissas!Z10*1000)</f>
        <v/>
      </c>
      <c r="Z7" s="760" t="str">
        <f>IF(Z$3&gt;'Resultados_Tarifa e TIR'!$B$12,"",FC_Premissas!AA10*1000)</f>
        <v/>
      </c>
      <c r="AA7" s="760" t="str">
        <f>IF(AA$3&gt;'Resultados_Tarifa e TIR'!$B$12,"",FC_Premissas!AB10*1000)</f>
        <v/>
      </c>
      <c r="AF7" s="688"/>
      <c r="AG7" s="597"/>
      <c r="AH7" s="688"/>
    </row>
    <row r="8" spans="1:34" s="768" customFormat="1" x14ac:dyDescent="0.2">
      <c r="A8" s="765">
        <f>SUM(C8:AA8)</f>
        <v>53445566.395974338</v>
      </c>
      <c r="B8" s="766" t="s">
        <v>1273</v>
      </c>
      <c r="C8" s="767">
        <f>IF(C$3&gt;'Resultados_Tarifa e TIR'!$B$12,"",SUM(C7:C7))</f>
        <v>4178936.4263982889</v>
      </c>
      <c r="D8" s="767">
        <f>IF(D$3&gt;'Resultados_Tarifa e TIR'!$B$12,"",SUM(D7:D7))</f>
        <v>3963748.4263982885</v>
      </c>
      <c r="E8" s="767">
        <f>IF(E$3&gt;'Resultados_Tarifa e TIR'!$B$12,"",SUM(E7:E7))</f>
        <v>3748600.4263982885</v>
      </c>
      <c r="F8" s="767">
        <f>IF(F$3&gt;'Resultados_Tarifa e TIR'!$B$12,"",SUM(F7:F7))</f>
        <v>3633396.4263982885</v>
      </c>
      <c r="G8" s="767">
        <f>IF(G$3&gt;'Resultados_Tarifa e TIR'!$B$12,"",SUM(G7:G7))</f>
        <v>3601444.4263982885</v>
      </c>
      <c r="H8" s="767">
        <f>IF(H$3&gt;'Resultados_Tarifa e TIR'!$B$12,"",SUM(H7:H7))</f>
        <v>3571572.4263982885</v>
      </c>
      <c r="I8" s="767">
        <f>IF(I$3&gt;'Resultados_Tarifa e TIR'!$B$12,"",SUM(I7:I7))</f>
        <v>3539620.4263982885</v>
      </c>
      <c r="J8" s="767">
        <f>IF(J$3&gt;'Resultados_Tarifa e TIR'!$B$12,"",SUM(J7:J7))</f>
        <v>3509744.4263982885</v>
      </c>
      <c r="K8" s="767">
        <f>IF(K$3&gt;'Resultados_Tarifa e TIR'!$B$12,"",SUM(K7:K7))</f>
        <v>3477796.4263982885</v>
      </c>
      <c r="L8" s="767">
        <f>IF(L$3&gt;'Resultados_Tarifa e TIR'!$B$12,"",SUM(L7:L7))</f>
        <v>3447916.4263982885</v>
      </c>
      <c r="M8" s="767">
        <f>IF(M$3&gt;'Resultados_Tarifa e TIR'!$B$12,"",SUM(M7:M7))</f>
        <v>3415972.4263982885</v>
      </c>
      <c r="N8" s="767">
        <f>IF(N$3&gt;'Resultados_Tarifa e TIR'!$B$12,"",SUM(N7:N7))</f>
        <v>3386088.4263982885</v>
      </c>
      <c r="O8" s="767">
        <f>IF(O$3&gt;'Resultados_Tarifa e TIR'!$B$12,"",SUM(O7:O7))</f>
        <v>3354148.4263982885</v>
      </c>
      <c r="P8" s="767">
        <f>IF(P$3&gt;'Resultados_Tarifa e TIR'!$B$12,"",SUM(P7:P7))</f>
        <v>3324260.4263982885</v>
      </c>
      <c r="Q8" s="767">
        <f>IF(Q$3&gt;'Resultados_Tarifa e TIR'!$B$12,"",SUM(Q7:Q7))</f>
        <v>3292320.4263982885</v>
      </c>
      <c r="R8" s="767" t="str">
        <f>IF(R$3&gt;'Resultados_Tarifa e TIR'!$B$12,"",SUM(R7:R7))</f>
        <v/>
      </c>
      <c r="S8" s="767" t="str">
        <f>IF(S$3&gt;'Resultados_Tarifa e TIR'!$B$12,"",SUM(S7:S7))</f>
        <v/>
      </c>
      <c r="T8" s="767" t="str">
        <f>IF(T$3&gt;'Resultados_Tarifa e TIR'!$B$12,"",SUM(T7:T7))</f>
        <v/>
      </c>
      <c r="U8" s="767" t="str">
        <f>IF(U$3&gt;'Resultados_Tarifa e TIR'!$B$12,"",SUM(U7:U7))</f>
        <v/>
      </c>
      <c r="V8" s="767" t="str">
        <f>IF(V$3&gt;'Resultados_Tarifa e TIR'!$B$12,"",SUM(V7:V7))</f>
        <v/>
      </c>
      <c r="W8" s="767" t="str">
        <f>IF(W$3&gt;'Resultados_Tarifa e TIR'!$B$12,"",SUM(W7:W7))</f>
        <v/>
      </c>
      <c r="X8" s="767" t="str">
        <f>IF(X$3&gt;'Resultados_Tarifa e TIR'!$B$12,"",SUM(X7:X7))</f>
        <v/>
      </c>
      <c r="Y8" s="767" t="str">
        <f>IF(Y$3&gt;'Resultados_Tarifa e TIR'!$B$12,"",SUM(Y7:Y7))</f>
        <v/>
      </c>
      <c r="Z8" s="767" t="str">
        <f>IF(Z$3&gt;'Resultados_Tarifa e TIR'!$B$12,"",SUM(Z7:Z7))</f>
        <v/>
      </c>
      <c r="AA8" s="767" t="str">
        <f>IF(AA$3&gt;'Resultados_Tarifa e TIR'!$B$12,"",SUM(AA7:AA7))</f>
        <v/>
      </c>
      <c r="AF8" s="696"/>
      <c r="AG8" s="604"/>
      <c r="AH8" s="696"/>
    </row>
    <row r="9" spans="1:34" s="768" customFormat="1" x14ac:dyDescent="0.2">
      <c r="A9" s="765">
        <f t="shared" si="0"/>
        <v>77733319.600216359</v>
      </c>
      <c r="B9" s="769" t="s">
        <v>1274</v>
      </c>
      <c r="C9" s="770">
        <f>IF(C$3&gt;'Resultados_Tarifa e TIR'!$B$12,"",C6+C8)</f>
        <v>5182221.306681091</v>
      </c>
      <c r="D9" s="770">
        <f>IF(D$3&gt;'Resultados_Tarifa e TIR'!$B$12,"",D6+D8)</f>
        <v>5182221.306681091</v>
      </c>
      <c r="E9" s="770">
        <f>IF(E$3&gt;'Resultados_Tarifa e TIR'!$B$12,"",E6+E8)</f>
        <v>5182221.306681091</v>
      </c>
      <c r="F9" s="770">
        <f>IF(F$3&gt;'Resultados_Tarifa e TIR'!$B$12,"",F6+F8)</f>
        <v>5182221.306681091</v>
      </c>
      <c r="G9" s="770">
        <f>IF(G$3&gt;'Resultados_Tarifa e TIR'!$B$12,"",G6+G8)</f>
        <v>5182221.306681091</v>
      </c>
      <c r="H9" s="770">
        <f>IF(H$3&gt;'Resultados_Tarifa e TIR'!$B$12,"",H6+H8)</f>
        <v>5182221.306681091</v>
      </c>
      <c r="I9" s="770">
        <f>IF(I$3&gt;'Resultados_Tarifa e TIR'!$B$12,"",I6+I8)</f>
        <v>5182221.306681091</v>
      </c>
      <c r="J9" s="770">
        <f>IF(J$3&gt;'Resultados_Tarifa e TIR'!$B$12,"",J6+J8)</f>
        <v>5182221.306681091</v>
      </c>
      <c r="K9" s="770">
        <f>IF(K$3&gt;'Resultados_Tarifa e TIR'!$B$12,"",K6+K8)</f>
        <v>5182221.306681091</v>
      </c>
      <c r="L9" s="770">
        <f>IF(L$3&gt;'Resultados_Tarifa e TIR'!$B$12,"",L6+L8)</f>
        <v>5182221.306681091</v>
      </c>
      <c r="M9" s="770">
        <f>IF(M$3&gt;'Resultados_Tarifa e TIR'!$B$12,"",M6+M8)</f>
        <v>5182221.306681091</v>
      </c>
      <c r="N9" s="770">
        <f>IF(N$3&gt;'Resultados_Tarifa e TIR'!$B$12,"",N6+N8)</f>
        <v>5182221.306681091</v>
      </c>
      <c r="O9" s="770">
        <f>IF(O$3&gt;'Resultados_Tarifa e TIR'!$B$12,"",O6+O8)</f>
        <v>5182221.306681091</v>
      </c>
      <c r="P9" s="770">
        <f>IF(P$3&gt;'Resultados_Tarifa e TIR'!$B$12,"",P6+P8)</f>
        <v>5182221.306681091</v>
      </c>
      <c r="Q9" s="770">
        <f>IF(Q$3&gt;'Resultados_Tarifa e TIR'!$B$12,"",Q6+Q8)</f>
        <v>5182221.306681091</v>
      </c>
      <c r="R9" s="770" t="str">
        <f>IF(R$3&gt;'Resultados_Tarifa e TIR'!$B$12,"",R6+R8)</f>
        <v/>
      </c>
      <c r="S9" s="770" t="str">
        <f>IF(S$3&gt;'Resultados_Tarifa e TIR'!$B$12,"",S6+S8)</f>
        <v/>
      </c>
      <c r="T9" s="770" t="str">
        <f>IF(T$3&gt;'Resultados_Tarifa e TIR'!$B$12,"",T6+T8)</f>
        <v/>
      </c>
      <c r="U9" s="770" t="str">
        <f>IF(U$3&gt;'Resultados_Tarifa e TIR'!$B$12,"",U6+U8)</f>
        <v/>
      </c>
      <c r="V9" s="770" t="str">
        <f>IF(V$3&gt;'Resultados_Tarifa e TIR'!$B$12,"",V6+V8)</f>
        <v/>
      </c>
      <c r="W9" s="770" t="str">
        <f>IF(W$3&gt;'Resultados_Tarifa e TIR'!$B$12,"",W6+W8)</f>
        <v/>
      </c>
      <c r="X9" s="770" t="str">
        <f>IF(X$3&gt;'Resultados_Tarifa e TIR'!$B$12,"",X6+X8)</f>
        <v/>
      </c>
      <c r="Y9" s="770" t="str">
        <f>IF(Y$3&gt;'Resultados_Tarifa e TIR'!$B$12,"",Y6+Y8)</f>
        <v/>
      </c>
      <c r="Z9" s="770" t="str">
        <f>IF(Z$3&gt;'Resultados_Tarifa e TIR'!$B$12,"",Z6+Z8)</f>
        <v/>
      </c>
      <c r="AA9" s="770" t="str">
        <f>IF(AA$3&gt;'Resultados_Tarifa e TIR'!$B$12,"",AA6+AA8)</f>
        <v/>
      </c>
      <c r="AF9" s="688"/>
      <c r="AG9" s="597"/>
      <c r="AH9" s="688"/>
    </row>
    <row r="10" spans="1:34" s="696" customFormat="1" x14ac:dyDescent="0.2">
      <c r="A10" s="771">
        <f t="shared" si="0"/>
        <v>-777333.19600216299</v>
      </c>
      <c r="B10" s="759" t="s">
        <v>1262</v>
      </c>
      <c r="C10" s="772">
        <f>IF(C$3&gt;'Resultados_Tarifa e TIR'!$B$12,"",'Resultados_Composição CT'!$C$64*('Resultados_Composição CT'!$F$56/'Resultados_Composição CT'!$F$63)*-12)</f>
        <v>-51822.213066810873</v>
      </c>
      <c r="D10" s="772">
        <f>IF(D$3&gt;'Resultados_Tarifa e TIR'!$B$12,"",'Resultados_Composição CT'!$C$64*('Resultados_Composição CT'!$F$56/'Resultados_Composição CT'!$F$63)*-12)</f>
        <v>-51822.213066810873</v>
      </c>
      <c r="E10" s="772">
        <f>IF(E$3&gt;'Resultados_Tarifa e TIR'!$B$12,"",'Resultados_Composição CT'!$C$64*('Resultados_Composição CT'!$F$56/'Resultados_Composição CT'!$F$63)*-12)</f>
        <v>-51822.213066810873</v>
      </c>
      <c r="F10" s="772">
        <f>IF(F$3&gt;'Resultados_Tarifa e TIR'!$B$12,"",'Resultados_Composição CT'!$C$64*('Resultados_Composição CT'!$F$56/'Resultados_Composição CT'!$F$63)*-12)</f>
        <v>-51822.213066810873</v>
      </c>
      <c r="G10" s="772">
        <f>IF(G$3&gt;'Resultados_Tarifa e TIR'!$B$12,"",'Resultados_Composição CT'!$C$64*('Resultados_Composição CT'!$F$56/'Resultados_Composição CT'!$F$63)*-12)</f>
        <v>-51822.213066810873</v>
      </c>
      <c r="H10" s="772">
        <f>IF(H$3&gt;'Resultados_Tarifa e TIR'!$B$12,"",'Resultados_Composição CT'!$C$64*('Resultados_Composição CT'!$F$56/'Resultados_Composição CT'!$F$63)*-12)</f>
        <v>-51822.213066810873</v>
      </c>
      <c r="I10" s="772">
        <f>IF(I$3&gt;'Resultados_Tarifa e TIR'!$B$12,"",'Resultados_Composição CT'!$C$64*('Resultados_Composição CT'!$F$56/'Resultados_Composição CT'!$F$63)*-12)</f>
        <v>-51822.213066810873</v>
      </c>
      <c r="J10" s="772">
        <f>IF(J$3&gt;'Resultados_Tarifa e TIR'!$B$12,"",'Resultados_Composição CT'!$C$64*('Resultados_Composição CT'!$F$56/'Resultados_Composição CT'!$F$63)*-12)</f>
        <v>-51822.213066810873</v>
      </c>
      <c r="K10" s="772">
        <f>IF(K$3&gt;'Resultados_Tarifa e TIR'!$B$12,"",'Resultados_Composição CT'!$C$64*('Resultados_Composição CT'!$F$56/'Resultados_Composição CT'!$F$63)*-12)</f>
        <v>-51822.213066810873</v>
      </c>
      <c r="L10" s="772">
        <f>IF(L$3&gt;'Resultados_Tarifa e TIR'!$B$12,"",'Resultados_Composição CT'!$C$64*('Resultados_Composição CT'!$F$56/'Resultados_Composição CT'!$F$63)*-12)</f>
        <v>-51822.213066810873</v>
      </c>
      <c r="M10" s="772">
        <f>IF(M$3&gt;'Resultados_Tarifa e TIR'!$B$12,"",'Resultados_Composição CT'!$C$64*('Resultados_Composição CT'!$F$56/'Resultados_Composição CT'!$F$63)*-12)</f>
        <v>-51822.213066810873</v>
      </c>
      <c r="N10" s="772">
        <f>IF(N$3&gt;'Resultados_Tarifa e TIR'!$B$12,"",'Resultados_Composição CT'!$C$64*('Resultados_Composição CT'!$F$56/'Resultados_Composição CT'!$F$63)*-12)</f>
        <v>-51822.213066810873</v>
      </c>
      <c r="O10" s="772">
        <f>IF(O$3&gt;'Resultados_Tarifa e TIR'!$B$12,"",'Resultados_Composição CT'!$C$64*('Resultados_Composição CT'!$F$56/'Resultados_Composição CT'!$F$63)*-12)</f>
        <v>-51822.213066810873</v>
      </c>
      <c r="P10" s="772">
        <f>IF(P$3&gt;'Resultados_Tarifa e TIR'!$B$12,"",'Resultados_Composição CT'!$C$64*('Resultados_Composição CT'!$F$56/'Resultados_Composição CT'!$F$63)*-12)</f>
        <v>-51822.213066810873</v>
      </c>
      <c r="Q10" s="772">
        <f>IF(Q$3&gt;'Resultados_Tarifa e TIR'!$B$12,"",'Resultados_Composição CT'!$C$64*('Resultados_Composição CT'!$F$56/'Resultados_Composição CT'!$F$63)*-12)</f>
        <v>-51822.213066810873</v>
      </c>
      <c r="R10" s="772" t="str">
        <f>IF(R$3&gt;'Resultados_Tarifa e TIR'!$B$12,"",'Resultados_Composição CT'!$C$64*('Resultados_Composição CT'!$F$56/'Resultados_Composição CT'!$F$63)*-12)</f>
        <v/>
      </c>
      <c r="S10" s="772" t="str">
        <f>IF(S$3&gt;'Resultados_Tarifa e TIR'!$B$12,"",'Resultados_Composição CT'!$C$64*('Resultados_Composição CT'!$F$56/'Resultados_Composição CT'!$F$63)*-12)</f>
        <v/>
      </c>
      <c r="T10" s="772" t="str">
        <f>IF(T$3&gt;'Resultados_Tarifa e TIR'!$B$12,"",'Resultados_Composição CT'!$C$64*('Resultados_Composição CT'!$F$56/'Resultados_Composição CT'!$F$63)*-12)</f>
        <v/>
      </c>
      <c r="U10" s="772" t="str">
        <f>IF(U$3&gt;'Resultados_Tarifa e TIR'!$B$12,"",'Resultados_Composição CT'!$C$64*('Resultados_Composição CT'!$F$56/'Resultados_Composição CT'!$F$63)*-12)</f>
        <v/>
      </c>
      <c r="V10" s="772" t="str">
        <f>IF(V$3&gt;'Resultados_Tarifa e TIR'!$B$12,"",'Resultados_Composição CT'!$C$64*('Resultados_Composição CT'!$F$56/'Resultados_Composição CT'!$F$63)*-12)</f>
        <v/>
      </c>
      <c r="W10" s="772" t="str">
        <f>IF(W$3&gt;'Resultados_Tarifa e TIR'!$B$12,"",'Resultados_Composição CT'!$C$64*('Resultados_Composição CT'!$F$56/'Resultados_Composição CT'!$F$63)*-12)</f>
        <v/>
      </c>
      <c r="X10" s="772" t="str">
        <f>IF(X$3&gt;'Resultados_Tarifa e TIR'!$B$12,"",'Resultados_Composição CT'!$C$64*('Resultados_Composição CT'!$F$56/'Resultados_Composição CT'!$F$63)*-12)</f>
        <v/>
      </c>
      <c r="Y10" s="772" t="str">
        <f>IF(Y$3&gt;'Resultados_Tarifa e TIR'!$B$12,"",'Resultados_Composição CT'!$C$64*('Resultados_Composição CT'!$F$56/'Resultados_Composição CT'!$F$63)*-12)</f>
        <v/>
      </c>
      <c r="Z10" s="772" t="str">
        <f>IF(Z$3&gt;'Resultados_Tarifa e TIR'!$B$12,"",'Resultados_Composição CT'!$C$64*('Resultados_Composição CT'!$F$56/'Resultados_Composição CT'!$F$63)*-12)</f>
        <v/>
      </c>
      <c r="AA10" s="772" t="str">
        <f>IF(AA$3&gt;'Resultados_Tarifa e TIR'!$B$12,"",'Resultados_Composição CT'!$C$64*('Resultados_Composição CT'!$F$56/'Resultados_Composição CT'!$F$63)*-12)</f>
        <v/>
      </c>
      <c r="AG10" s="604"/>
    </row>
    <row r="11" spans="1:34" s="696" customFormat="1" x14ac:dyDescent="0.2">
      <c r="A11" s="771">
        <f t="shared" si="0"/>
        <v>-3886665.9800108145</v>
      </c>
      <c r="B11" s="759" t="s">
        <v>1256</v>
      </c>
      <c r="C11" s="772">
        <f>IF(C$3&gt;'Resultados_Tarifa e TIR'!$B$12,"",'Resultados_Composição CT'!$C$64*('Resultados_Composição CT'!$F$57/'Resultados_Composição CT'!$F$63)*-12)</f>
        <v>-259111.06533405435</v>
      </c>
      <c r="D11" s="772">
        <f>IF(D$3&gt;'Resultados_Tarifa e TIR'!$B$12,"",'Resultados_Composição CT'!$C$64*('Resultados_Composição CT'!$F$57/'Resultados_Composição CT'!$F$63)*-12)</f>
        <v>-259111.06533405435</v>
      </c>
      <c r="E11" s="772">
        <f>IF(E$3&gt;'Resultados_Tarifa e TIR'!$B$12,"",'Resultados_Composição CT'!$C$64*('Resultados_Composição CT'!$F$57/'Resultados_Composição CT'!$F$63)*-12)</f>
        <v>-259111.06533405435</v>
      </c>
      <c r="F11" s="772">
        <f>IF(F$3&gt;'Resultados_Tarifa e TIR'!$B$12,"",'Resultados_Composição CT'!$C$64*('Resultados_Composição CT'!$F$57/'Resultados_Composição CT'!$F$63)*-12)</f>
        <v>-259111.06533405435</v>
      </c>
      <c r="G11" s="772">
        <f>IF(G$3&gt;'Resultados_Tarifa e TIR'!$B$12,"",'Resultados_Composição CT'!$C$64*('Resultados_Composição CT'!$F$57/'Resultados_Composição CT'!$F$63)*-12)</f>
        <v>-259111.06533405435</v>
      </c>
      <c r="H11" s="772">
        <f>IF(H$3&gt;'Resultados_Tarifa e TIR'!$B$12,"",'Resultados_Composição CT'!$C$64*('Resultados_Composição CT'!$F$57/'Resultados_Composição CT'!$F$63)*-12)</f>
        <v>-259111.06533405435</v>
      </c>
      <c r="I11" s="772">
        <f>IF(I$3&gt;'Resultados_Tarifa e TIR'!$B$12,"",'Resultados_Composição CT'!$C$64*('Resultados_Composição CT'!$F$57/'Resultados_Composição CT'!$F$63)*-12)</f>
        <v>-259111.06533405435</v>
      </c>
      <c r="J11" s="772">
        <f>IF(J$3&gt;'Resultados_Tarifa e TIR'!$B$12,"",'Resultados_Composição CT'!$C$64*('Resultados_Composição CT'!$F$57/'Resultados_Composição CT'!$F$63)*-12)</f>
        <v>-259111.06533405435</v>
      </c>
      <c r="K11" s="772">
        <f>IF(K$3&gt;'Resultados_Tarifa e TIR'!$B$12,"",'Resultados_Composição CT'!$C$64*('Resultados_Composição CT'!$F$57/'Resultados_Composição CT'!$F$63)*-12)</f>
        <v>-259111.06533405435</v>
      </c>
      <c r="L11" s="772">
        <f>IF(L$3&gt;'Resultados_Tarifa e TIR'!$B$12,"",'Resultados_Composição CT'!$C$64*('Resultados_Composição CT'!$F$57/'Resultados_Composição CT'!$F$63)*-12)</f>
        <v>-259111.06533405435</v>
      </c>
      <c r="M11" s="772">
        <f>IF(M$3&gt;'Resultados_Tarifa e TIR'!$B$12,"",'Resultados_Composição CT'!$C$64*('Resultados_Composição CT'!$F$57/'Resultados_Composição CT'!$F$63)*-12)</f>
        <v>-259111.06533405435</v>
      </c>
      <c r="N11" s="772">
        <f>IF(N$3&gt;'Resultados_Tarifa e TIR'!$B$12,"",'Resultados_Composição CT'!$C$64*('Resultados_Composição CT'!$F$57/'Resultados_Composição CT'!$F$63)*-12)</f>
        <v>-259111.06533405435</v>
      </c>
      <c r="O11" s="772">
        <f>IF(O$3&gt;'Resultados_Tarifa e TIR'!$B$12,"",'Resultados_Composição CT'!$C$64*('Resultados_Composição CT'!$F$57/'Resultados_Composição CT'!$F$63)*-12)</f>
        <v>-259111.06533405435</v>
      </c>
      <c r="P11" s="772">
        <f>IF(P$3&gt;'Resultados_Tarifa e TIR'!$B$12,"",'Resultados_Composição CT'!$C$64*('Resultados_Composição CT'!$F$57/'Resultados_Composição CT'!$F$63)*-12)</f>
        <v>-259111.06533405435</v>
      </c>
      <c r="Q11" s="772">
        <f>IF(Q$3&gt;'Resultados_Tarifa e TIR'!$B$12,"",'Resultados_Composição CT'!$C$64*('Resultados_Composição CT'!$F$57/'Resultados_Composição CT'!$F$63)*-12)</f>
        <v>-259111.06533405435</v>
      </c>
      <c r="R11" s="772" t="str">
        <f>IF(R$3&gt;'Resultados_Tarifa e TIR'!$B$12,"",'Resultados_Composição CT'!$C$64*('Resultados_Composição CT'!$F$57/'Resultados_Composição CT'!$F$63)*-12)</f>
        <v/>
      </c>
      <c r="S11" s="772" t="str">
        <f>IF(S$3&gt;'Resultados_Tarifa e TIR'!$B$12,"",'Resultados_Composição CT'!$C$64*('Resultados_Composição CT'!$F$57/'Resultados_Composição CT'!$F$63)*-12)</f>
        <v/>
      </c>
      <c r="T11" s="772" t="str">
        <f>IF(T$3&gt;'Resultados_Tarifa e TIR'!$B$12,"",'Resultados_Composição CT'!$C$64*('Resultados_Composição CT'!$F$57/'Resultados_Composição CT'!$F$63)*-12)</f>
        <v/>
      </c>
      <c r="U11" s="772" t="str">
        <f>IF(U$3&gt;'Resultados_Tarifa e TIR'!$B$12,"",'Resultados_Composição CT'!$C$64*('Resultados_Composição CT'!$F$57/'Resultados_Composição CT'!$F$63)*-12)</f>
        <v/>
      </c>
      <c r="V11" s="772" t="str">
        <f>IF(V$3&gt;'Resultados_Tarifa e TIR'!$B$12,"",'Resultados_Composição CT'!$C$64*('Resultados_Composição CT'!$F$57/'Resultados_Composição CT'!$F$63)*-12)</f>
        <v/>
      </c>
      <c r="W11" s="772" t="str">
        <f>IF(W$3&gt;'Resultados_Tarifa e TIR'!$B$12,"",'Resultados_Composição CT'!$C$64*('Resultados_Composição CT'!$F$57/'Resultados_Composição CT'!$F$63)*-12)</f>
        <v/>
      </c>
      <c r="X11" s="772" t="str">
        <f>IF(X$3&gt;'Resultados_Tarifa e TIR'!$B$12,"",'Resultados_Composição CT'!$C$64*('Resultados_Composição CT'!$F$57/'Resultados_Composição CT'!$F$63)*-12)</f>
        <v/>
      </c>
      <c r="Y11" s="772" t="str">
        <f>IF(Y$3&gt;'Resultados_Tarifa e TIR'!$B$12,"",'Resultados_Composição CT'!$C$64*('Resultados_Composição CT'!$F$57/'Resultados_Composição CT'!$F$63)*-12)</f>
        <v/>
      </c>
      <c r="Z11" s="772" t="str">
        <f>IF(Z$3&gt;'Resultados_Tarifa e TIR'!$B$12,"",'Resultados_Composição CT'!$C$64*('Resultados_Composição CT'!$F$57/'Resultados_Composição CT'!$F$63)*-12)</f>
        <v/>
      </c>
      <c r="AA11" s="772" t="str">
        <f>IF(AA$3&gt;'Resultados_Tarifa e TIR'!$B$12,"",'Resultados_Composição CT'!$C$64*('Resultados_Composição CT'!$F$57/'Resultados_Composição CT'!$F$63)*-12)</f>
        <v/>
      </c>
    </row>
    <row r="12" spans="1:34" s="696" customFormat="1" x14ac:dyDescent="0.2">
      <c r="A12" s="771">
        <f t="shared" si="0"/>
        <v>0</v>
      </c>
      <c r="B12" s="759" t="s">
        <v>1275</v>
      </c>
      <c r="C12" s="772">
        <f>IF(C$3&gt;'Resultados_Tarifa e TIR'!$B$12,"",'Resultados_Composição CT'!$C$64*(SUM('Resultados_Composição CT'!$F$58:$F$62)/'Resultados_Composição CT'!$F$63)*-12)</f>
        <v>0</v>
      </c>
      <c r="D12" s="772">
        <f>IF(D$3&gt;'Resultados_Tarifa e TIR'!$B$12,"",'Resultados_Composição CT'!$C$64*(SUM('Resultados_Composição CT'!$F$58:$F$62)/'Resultados_Composição CT'!$F$63)*-12)</f>
        <v>0</v>
      </c>
      <c r="E12" s="772">
        <f>IF(E$3&gt;'Resultados_Tarifa e TIR'!$B$12,"",'Resultados_Composição CT'!$C$64*(SUM('Resultados_Composição CT'!$F$58:$F$62)/'Resultados_Composição CT'!$F$63)*-12)</f>
        <v>0</v>
      </c>
      <c r="F12" s="772">
        <f>IF(F$3&gt;'Resultados_Tarifa e TIR'!$B$12,"",'Resultados_Composição CT'!$C$64*(SUM('Resultados_Composição CT'!$F$58:$F$62)/'Resultados_Composição CT'!$F$63)*-12)</f>
        <v>0</v>
      </c>
      <c r="G12" s="772">
        <f>IF(G$3&gt;'Resultados_Tarifa e TIR'!$B$12,"",'Resultados_Composição CT'!$C$64*(SUM('Resultados_Composição CT'!$F$58:$F$62)/'Resultados_Composição CT'!$F$63)*-12)</f>
        <v>0</v>
      </c>
      <c r="H12" s="772">
        <f>IF(H$3&gt;'Resultados_Tarifa e TIR'!$B$12,"",'Resultados_Composição CT'!$C$64*(SUM('Resultados_Composição CT'!$F$58:$F$62)/'Resultados_Composição CT'!$F$63)*-12)</f>
        <v>0</v>
      </c>
      <c r="I12" s="772">
        <f>IF(I$3&gt;'Resultados_Tarifa e TIR'!$B$12,"",'Resultados_Composição CT'!$C$64*(SUM('Resultados_Composição CT'!$F$58:$F$62)/'Resultados_Composição CT'!$F$63)*-12)</f>
        <v>0</v>
      </c>
      <c r="J12" s="772">
        <f>IF(J$3&gt;'Resultados_Tarifa e TIR'!$B$12,"",'Resultados_Composição CT'!$C$64*(SUM('Resultados_Composição CT'!$F$58:$F$62)/'Resultados_Composição CT'!$F$63)*-12)</f>
        <v>0</v>
      </c>
      <c r="K12" s="772">
        <f>IF(K$3&gt;'Resultados_Tarifa e TIR'!$B$12,"",'Resultados_Composição CT'!$C$64*(SUM('Resultados_Composição CT'!$F$58:$F$62)/'Resultados_Composição CT'!$F$63)*-12)</f>
        <v>0</v>
      </c>
      <c r="L12" s="772">
        <f>IF(L$3&gt;'Resultados_Tarifa e TIR'!$B$12,"",'Resultados_Composição CT'!$C$64*(SUM('Resultados_Composição CT'!$F$58:$F$62)/'Resultados_Composição CT'!$F$63)*-12)</f>
        <v>0</v>
      </c>
      <c r="M12" s="772">
        <f>IF(M$3&gt;'Resultados_Tarifa e TIR'!$B$12,"",'Resultados_Composição CT'!$C$64*(SUM('Resultados_Composição CT'!$F$58:$F$62)/'Resultados_Composição CT'!$F$63)*-12)</f>
        <v>0</v>
      </c>
      <c r="N12" s="772">
        <f>IF(N$3&gt;'Resultados_Tarifa e TIR'!$B$12,"",'Resultados_Composição CT'!$C$64*(SUM('Resultados_Composição CT'!$F$58:$F$62)/'Resultados_Composição CT'!$F$63)*-12)</f>
        <v>0</v>
      </c>
      <c r="O12" s="772">
        <f>IF(O$3&gt;'Resultados_Tarifa e TIR'!$B$12,"",'Resultados_Composição CT'!$C$64*(SUM('Resultados_Composição CT'!$F$58:$F$62)/'Resultados_Composição CT'!$F$63)*-12)</f>
        <v>0</v>
      </c>
      <c r="P12" s="772">
        <f>IF(P$3&gt;'Resultados_Tarifa e TIR'!$B$12,"",'Resultados_Composição CT'!$C$64*(SUM('Resultados_Composição CT'!$F$58:$F$62)/'Resultados_Composição CT'!$F$63)*-12)</f>
        <v>0</v>
      </c>
      <c r="Q12" s="772">
        <f>IF(Q$3&gt;'Resultados_Tarifa e TIR'!$B$12,"",'Resultados_Composição CT'!$C$64*(SUM('Resultados_Composição CT'!$F$58:$F$62)/'Resultados_Composição CT'!$F$63)*-12)</f>
        <v>0</v>
      </c>
      <c r="R12" s="772" t="str">
        <f>IF(R$3&gt;'Resultados_Tarifa e TIR'!$B$12,"",'Resultados_Composição CT'!$C$64*(SUM('Resultados_Composição CT'!$F$58:$F$62)/'Resultados_Composição CT'!$F$63)*-12)</f>
        <v/>
      </c>
      <c r="S12" s="772" t="str">
        <f>IF(S$3&gt;'Resultados_Tarifa e TIR'!$B$12,"",'Resultados_Composição CT'!$C$64*(SUM('Resultados_Composição CT'!$F$58:$F$62)/'Resultados_Composição CT'!$F$63)*-12)</f>
        <v/>
      </c>
      <c r="T12" s="772" t="str">
        <f>IF(T$3&gt;'Resultados_Tarifa e TIR'!$B$12,"",'Resultados_Composição CT'!$C$64*(SUM('Resultados_Composição CT'!$F$58:$F$62)/'Resultados_Composição CT'!$F$63)*-12)</f>
        <v/>
      </c>
      <c r="U12" s="772" t="str">
        <f>IF(U$3&gt;'Resultados_Tarifa e TIR'!$B$12,"",'Resultados_Composição CT'!$C$64*(SUM('Resultados_Composição CT'!$F$58:$F$62)/'Resultados_Composição CT'!$F$63)*-12)</f>
        <v/>
      </c>
      <c r="V12" s="772" t="str">
        <f>IF(V$3&gt;'Resultados_Tarifa e TIR'!$B$12,"",'Resultados_Composição CT'!$C$64*(SUM('Resultados_Composição CT'!$F$58:$F$62)/'Resultados_Composição CT'!$F$63)*-12)</f>
        <v/>
      </c>
      <c r="W12" s="772" t="str">
        <f>IF(W$3&gt;'Resultados_Tarifa e TIR'!$B$12,"",'Resultados_Composição CT'!$C$64*(SUM('Resultados_Composição CT'!$F$58:$F$62)/'Resultados_Composição CT'!$F$63)*-12)</f>
        <v/>
      </c>
      <c r="X12" s="772" t="str">
        <f>IF(X$3&gt;'Resultados_Tarifa e TIR'!$B$12,"",'Resultados_Composição CT'!$C$64*(SUM('Resultados_Composição CT'!$F$58:$F$62)/'Resultados_Composição CT'!$F$63)*-12)</f>
        <v/>
      </c>
      <c r="Y12" s="772" t="str">
        <f>IF(Y$3&gt;'Resultados_Tarifa e TIR'!$B$12,"",'Resultados_Composição CT'!$C$64*(SUM('Resultados_Composição CT'!$F$58:$F$62)/'Resultados_Composição CT'!$F$63)*-12)</f>
        <v/>
      </c>
      <c r="Z12" s="772" t="str">
        <f>IF(Z$3&gt;'Resultados_Tarifa e TIR'!$B$12,"",'Resultados_Composição CT'!$C$64*(SUM('Resultados_Composição CT'!$F$58:$F$62)/'Resultados_Composição CT'!$F$63)*-12)</f>
        <v/>
      </c>
      <c r="AA12" s="772" t="str">
        <f>IF(AA$3&gt;'Resultados_Tarifa e TIR'!$B$12,"",'Resultados_Composição CT'!$C$64*(SUM('Resultados_Composição CT'!$F$58:$F$62)/'Resultados_Composição CT'!$F$63)*-12)</f>
        <v/>
      </c>
    </row>
    <row r="13" spans="1:34" x14ac:dyDescent="0.2">
      <c r="A13" s="765">
        <f t="shared" si="0"/>
        <v>-4663999.1760129789</v>
      </c>
      <c r="B13" s="766" t="s">
        <v>1276</v>
      </c>
      <c r="C13" s="770">
        <f>IF(C$3&gt;'Resultados_Tarifa e TIR'!$B$12,"",SUM(C10:C12))</f>
        <v>-310933.27840086521</v>
      </c>
      <c r="D13" s="770">
        <f>IF(D$3&gt;'Resultados_Tarifa e TIR'!$B$12,"",SUM(D10:D12))</f>
        <v>-310933.27840086521</v>
      </c>
      <c r="E13" s="770">
        <f>IF(E$3&gt;'Resultados_Tarifa e TIR'!$B$12,"",SUM(E10:E12))</f>
        <v>-310933.27840086521</v>
      </c>
      <c r="F13" s="770">
        <f>IF(F$3&gt;'Resultados_Tarifa e TIR'!$B$12,"",SUM(F10:F12))</f>
        <v>-310933.27840086521</v>
      </c>
      <c r="G13" s="770">
        <f>IF(G$3&gt;'Resultados_Tarifa e TIR'!$B$12,"",SUM(G10:G12))</f>
        <v>-310933.27840086521</v>
      </c>
      <c r="H13" s="770">
        <f>IF(H$3&gt;'Resultados_Tarifa e TIR'!$B$12,"",SUM(H10:H12))</f>
        <v>-310933.27840086521</v>
      </c>
      <c r="I13" s="770">
        <f>IF(I$3&gt;'Resultados_Tarifa e TIR'!$B$12,"",SUM(I10:I12))</f>
        <v>-310933.27840086521</v>
      </c>
      <c r="J13" s="770">
        <f>IF(J$3&gt;'Resultados_Tarifa e TIR'!$B$12,"",SUM(J10:J12))</f>
        <v>-310933.27840086521</v>
      </c>
      <c r="K13" s="770">
        <f>IF(K$3&gt;'Resultados_Tarifa e TIR'!$B$12,"",SUM(K10:K12))</f>
        <v>-310933.27840086521</v>
      </c>
      <c r="L13" s="770">
        <f>IF(L$3&gt;'Resultados_Tarifa e TIR'!$B$12,"",SUM(L10:L12))</f>
        <v>-310933.27840086521</v>
      </c>
      <c r="M13" s="770">
        <f>IF(M$3&gt;'Resultados_Tarifa e TIR'!$B$12,"",SUM(M10:M12))</f>
        <v>-310933.27840086521</v>
      </c>
      <c r="N13" s="770">
        <f>IF(N$3&gt;'Resultados_Tarifa e TIR'!$B$12,"",SUM(N10:N12))</f>
        <v>-310933.27840086521</v>
      </c>
      <c r="O13" s="770">
        <f>IF(O$3&gt;'Resultados_Tarifa e TIR'!$B$12,"",SUM(O10:O12))</f>
        <v>-310933.27840086521</v>
      </c>
      <c r="P13" s="770">
        <f>IF(P$3&gt;'Resultados_Tarifa e TIR'!$B$12,"",SUM(P10:P12))</f>
        <v>-310933.27840086521</v>
      </c>
      <c r="Q13" s="770">
        <f>IF(Q$3&gt;'Resultados_Tarifa e TIR'!$B$12,"",SUM(Q10:Q12))</f>
        <v>-310933.27840086521</v>
      </c>
      <c r="R13" s="770" t="str">
        <f>IF(R$3&gt;'Resultados_Tarifa e TIR'!$B$12,"",SUM(R10:R12))</f>
        <v/>
      </c>
      <c r="S13" s="770" t="str">
        <f>IF(S$3&gt;'Resultados_Tarifa e TIR'!$B$12,"",SUM(S10:S12))</f>
        <v/>
      </c>
      <c r="T13" s="770" t="str">
        <f>IF(T$3&gt;'Resultados_Tarifa e TIR'!$B$12,"",SUM(T10:T12))</f>
        <v/>
      </c>
      <c r="U13" s="770" t="str">
        <f>IF(U$3&gt;'Resultados_Tarifa e TIR'!$B$12,"",SUM(U10:U12))</f>
        <v/>
      </c>
      <c r="V13" s="770" t="str">
        <f>IF(V$3&gt;'Resultados_Tarifa e TIR'!$B$12,"",SUM(V10:V12))</f>
        <v/>
      </c>
      <c r="W13" s="770" t="str">
        <f>IF(W$3&gt;'Resultados_Tarifa e TIR'!$B$12,"",SUM(W10:W12))</f>
        <v/>
      </c>
      <c r="X13" s="770" t="str">
        <f>IF(X$3&gt;'Resultados_Tarifa e TIR'!$B$12,"",SUM(X10:X12))</f>
        <v/>
      </c>
      <c r="Y13" s="770" t="str">
        <f>IF(Y$3&gt;'Resultados_Tarifa e TIR'!$B$12,"",SUM(Y10:Y12))</f>
        <v/>
      </c>
      <c r="Z13" s="770" t="str">
        <f>IF(Z$3&gt;'Resultados_Tarifa e TIR'!$B$12,"",SUM(Z10:Z12))</f>
        <v/>
      </c>
      <c r="AA13" s="770" t="str">
        <f>IF(AA$3&gt;'Resultados_Tarifa e TIR'!$B$12,"",SUM(AA10:AA12))</f>
        <v/>
      </c>
    </row>
    <row r="14" spans="1:34" x14ac:dyDescent="0.2">
      <c r="A14" s="773">
        <f t="shared" si="0"/>
        <v>73069320.424203396</v>
      </c>
      <c r="B14" s="774" t="s">
        <v>1277</v>
      </c>
      <c r="C14" s="775">
        <f>IF(C$3&gt;'Resultados_Tarifa e TIR'!$B$12,"",C9+C13)</f>
        <v>4871288.0282802256</v>
      </c>
      <c r="D14" s="775">
        <f>IF(D$3&gt;'Resultados_Tarifa e TIR'!$B$12,"",D9+D13)</f>
        <v>4871288.0282802256</v>
      </c>
      <c r="E14" s="775">
        <f>IF(E$3&gt;'Resultados_Tarifa e TIR'!$B$12,"",E9+E13)</f>
        <v>4871288.0282802256</v>
      </c>
      <c r="F14" s="775">
        <f>IF(F$3&gt;'Resultados_Tarifa e TIR'!$B$12,"",F9+F13)</f>
        <v>4871288.0282802256</v>
      </c>
      <c r="G14" s="775">
        <f>IF(G$3&gt;'Resultados_Tarifa e TIR'!$B$12,"",G9+G13)</f>
        <v>4871288.0282802256</v>
      </c>
      <c r="H14" s="775">
        <f>IF(H$3&gt;'Resultados_Tarifa e TIR'!$B$12,"",H9+H13)</f>
        <v>4871288.0282802256</v>
      </c>
      <c r="I14" s="775">
        <f>IF(I$3&gt;'Resultados_Tarifa e TIR'!$B$12,"",I9+I13)</f>
        <v>4871288.0282802256</v>
      </c>
      <c r="J14" s="775">
        <f>IF(J$3&gt;'Resultados_Tarifa e TIR'!$B$12,"",J9+J13)</f>
        <v>4871288.0282802256</v>
      </c>
      <c r="K14" s="775">
        <f>IF(K$3&gt;'Resultados_Tarifa e TIR'!$B$12,"",K9+K13)</f>
        <v>4871288.0282802256</v>
      </c>
      <c r="L14" s="775">
        <f>IF(L$3&gt;'Resultados_Tarifa e TIR'!$B$12,"",L9+L13)</f>
        <v>4871288.0282802256</v>
      </c>
      <c r="M14" s="775">
        <f>IF(M$3&gt;'Resultados_Tarifa e TIR'!$B$12,"",M9+M13)</f>
        <v>4871288.0282802256</v>
      </c>
      <c r="N14" s="775">
        <f>IF(N$3&gt;'Resultados_Tarifa e TIR'!$B$12,"",N9+N13)</f>
        <v>4871288.0282802256</v>
      </c>
      <c r="O14" s="775">
        <f>IF(O$3&gt;'Resultados_Tarifa e TIR'!$B$12,"",O9+O13)</f>
        <v>4871288.0282802256</v>
      </c>
      <c r="P14" s="775">
        <f>IF(P$3&gt;'Resultados_Tarifa e TIR'!$B$12,"",P9+P13)</f>
        <v>4871288.0282802256</v>
      </c>
      <c r="Q14" s="775">
        <f>IF(Q$3&gt;'Resultados_Tarifa e TIR'!$B$12,"",Q9+Q13)</f>
        <v>4871288.0282802256</v>
      </c>
      <c r="R14" s="775" t="str">
        <f>IF(R$3&gt;'Resultados_Tarifa e TIR'!$B$12,"",R9+R13)</f>
        <v/>
      </c>
      <c r="S14" s="775" t="str">
        <f>IF(S$3&gt;'Resultados_Tarifa e TIR'!$B$12,"",S9+S13)</f>
        <v/>
      </c>
      <c r="T14" s="775" t="str">
        <f>IF(T$3&gt;'Resultados_Tarifa e TIR'!$B$12,"",T9+T13)</f>
        <v/>
      </c>
      <c r="U14" s="775" t="str">
        <f>IF(U$3&gt;'Resultados_Tarifa e TIR'!$B$12,"",U9+U13)</f>
        <v/>
      </c>
      <c r="V14" s="775" t="str">
        <f>IF(V$3&gt;'Resultados_Tarifa e TIR'!$B$12,"",V9+V13)</f>
        <v/>
      </c>
      <c r="W14" s="775" t="str">
        <f>IF(W$3&gt;'Resultados_Tarifa e TIR'!$B$12,"",W9+W13)</f>
        <v/>
      </c>
      <c r="X14" s="775" t="str">
        <f>IF(X$3&gt;'Resultados_Tarifa e TIR'!$B$12,"",X9+X13)</f>
        <v/>
      </c>
      <c r="Y14" s="775" t="str">
        <f>IF(Y$3&gt;'Resultados_Tarifa e TIR'!$B$12,"",Y9+Y13)</f>
        <v/>
      </c>
      <c r="Z14" s="775" t="str">
        <f>IF(Z$3&gt;'Resultados_Tarifa e TIR'!$B$12,"",Z9+Z13)</f>
        <v/>
      </c>
      <c r="AA14" s="775" t="str">
        <f>IF(AA$3&gt;'Resultados_Tarifa e TIR'!$B$12,"",AA9+AA13)</f>
        <v/>
      </c>
    </row>
    <row r="15" spans="1:34" s="696" customFormat="1" x14ac:dyDescent="0.2">
      <c r="A15" s="771"/>
      <c r="B15" s="764" t="s">
        <v>1378</v>
      </c>
      <c r="C15" s="772">
        <f>IF(C$3&gt;'Resultados_Tarifa e TIR'!$B$12,"",'Resultados_Composição CT'!$C$9*-12)</f>
        <v>-1352217.5596799999</v>
      </c>
      <c r="D15" s="772">
        <f>IF(D$3&gt;'Resultados_Tarifa e TIR'!$B$12,"",'Resultados_Composição CT'!$C$9*-12)</f>
        <v>-1352217.5596799999</v>
      </c>
      <c r="E15" s="772">
        <f>IF(E$3&gt;'Resultados_Tarifa e TIR'!$B$12,"",'Resultados_Composição CT'!$C$9*-12)</f>
        <v>-1352217.5596799999</v>
      </c>
      <c r="F15" s="772">
        <f>IF(F$3&gt;'Resultados_Tarifa e TIR'!$B$12,"",'Resultados_Composição CT'!$C$9*-12)</f>
        <v>-1352217.5596799999</v>
      </c>
      <c r="G15" s="772">
        <f>IF(G$3&gt;'Resultados_Tarifa e TIR'!$B$12,"",'Resultados_Composição CT'!$C$9*-12)</f>
        <v>-1352217.5596799999</v>
      </c>
      <c r="H15" s="772">
        <f>IF(H$3&gt;'Resultados_Tarifa e TIR'!$B$12,"",'Resultados_Composição CT'!$C$9*-12)</f>
        <v>-1352217.5596799999</v>
      </c>
      <c r="I15" s="772">
        <f>IF(I$3&gt;'Resultados_Tarifa e TIR'!$B$12,"",'Resultados_Composição CT'!$C$9*-12)</f>
        <v>-1352217.5596799999</v>
      </c>
      <c r="J15" s="772">
        <f>IF(J$3&gt;'Resultados_Tarifa e TIR'!$B$12,"",'Resultados_Composição CT'!$C$9*-12)</f>
        <v>-1352217.5596799999</v>
      </c>
      <c r="K15" s="772">
        <f>IF(K$3&gt;'Resultados_Tarifa e TIR'!$B$12,"",'Resultados_Composição CT'!$C$9*-12)</f>
        <v>-1352217.5596799999</v>
      </c>
      <c r="L15" s="772">
        <f>IF(L$3&gt;'Resultados_Tarifa e TIR'!$B$12,"",'Resultados_Composição CT'!$C$9*-12)</f>
        <v>-1352217.5596799999</v>
      </c>
      <c r="M15" s="772">
        <f>IF(M$3&gt;'Resultados_Tarifa e TIR'!$B$12,"",'Resultados_Composição CT'!$C$9*-12)</f>
        <v>-1352217.5596799999</v>
      </c>
      <c r="N15" s="772">
        <f>IF(N$3&gt;'Resultados_Tarifa e TIR'!$B$12,"",'Resultados_Composição CT'!$C$9*-12)</f>
        <v>-1352217.5596799999</v>
      </c>
      <c r="O15" s="772">
        <f>IF(O$3&gt;'Resultados_Tarifa e TIR'!$B$12,"",'Resultados_Composição CT'!$C$9*-12)</f>
        <v>-1352217.5596799999</v>
      </c>
      <c r="P15" s="772">
        <f>IF(P$3&gt;'Resultados_Tarifa e TIR'!$B$12,"",'Resultados_Composição CT'!$C$9*-12)</f>
        <v>-1352217.5596799999</v>
      </c>
      <c r="Q15" s="772">
        <f>IF(Q$3&gt;'Resultados_Tarifa e TIR'!$B$12,"",'Resultados_Composição CT'!$C$9*-12)</f>
        <v>-1352217.5596799999</v>
      </c>
      <c r="R15" s="772" t="str">
        <f>IF(R$3&gt;'Resultados_Tarifa e TIR'!$B$12,"",'Resultados_Composição CT'!$C$9*-12)</f>
        <v/>
      </c>
      <c r="S15" s="772" t="str">
        <f>IF(S$3&gt;'Resultados_Tarifa e TIR'!$B$12,"",'Resultados_Composição CT'!$C$9*-12)</f>
        <v/>
      </c>
      <c r="T15" s="772" t="str">
        <f>IF(T$3&gt;'Resultados_Tarifa e TIR'!$B$12,"",'Resultados_Composição CT'!$C$9*-12)</f>
        <v/>
      </c>
      <c r="U15" s="772" t="str">
        <f>IF(U$3&gt;'Resultados_Tarifa e TIR'!$B$12,"",'Resultados_Composição CT'!$C$9*-12)</f>
        <v/>
      </c>
      <c r="V15" s="772" t="str">
        <f>IF(V$3&gt;'Resultados_Tarifa e TIR'!$B$12,"",'Resultados_Composição CT'!$C$9*-12)</f>
        <v/>
      </c>
      <c r="W15" s="772" t="str">
        <f>IF(W$3&gt;'Resultados_Tarifa e TIR'!$B$12,"",'Resultados_Composição CT'!$C$9*-12)</f>
        <v/>
      </c>
      <c r="X15" s="772" t="str">
        <f>IF(X$3&gt;'Resultados_Tarifa e TIR'!$B$12,"",'Resultados_Composição CT'!$C$9*-12)</f>
        <v/>
      </c>
      <c r="Y15" s="772" t="str">
        <f>IF(Y$3&gt;'Resultados_Tarifa e TIR'!$B$12,"",'Resultados_Composição CT'!$C$9*-12)</f>
        <v/>
      </c>
      <c r="Z15" s="772" t="str">
        <f>IF(Z$3&gt;'Resultados_Tarifa e TIR'!$B$12,"",'Resultados_Composição CT'!$C$9*-12)</f>
        <v/>
      </c>
      <c r="AA15" s="772" t="str">
        <f>IF(AA$3&gt;'Resultados_Tarifa e TIR'!$B$12,"",'Resultados_Composição CT'!$C$9*-12)</f>
        <v/>
      </c>
      <c r="AB15" s="772"/>
      <c r="AC15" s="772"/>
    </row>
    <row r="16" spans="1:34" s="696" customFormat="1" x14ac:dyDescent="0.2">
      <c r="A16" s="771"/>
      <c r="B16" s="764" t="s">
        <v>1379</v>
      </c>
      <c r="C16" s="772">
        <f>IF(C$3&gt;'Resultados_Tarifa e TIR'!$B$12,"",'Resultados_Composição CT'!$C$10*-12)</f>
        <v>-91881.449567999996</v>
      </c>
      <c r="D16" s="772">
        <f>IF(D$3&gt;'Resultados_Tarifa e TIR'!$B$12,"",'Resultados_Composição CT'!$C$10*-12)</f>
        <v>-91881.449567999996</v>
      </c>
      <c r="E16" s="772">
        <f>IF(E$3&gt;'Resultados_Tarifa e TIR'!$B$12,"",'Resultados_Composição CT'!$C$10*-12)</f>
        <v>-91881.449567999996</v>
      </c>
      <c r="F16" s="772">
        <f>IF(F$3&gt;'Resultados_Tarifa e TIR'!$B$12,"",'Resultados_Composição CT'!$C$10*-12)</f>
        <v>-91881.449567999996</v>
      </c>
      <c r="G16" s="772">
        <f>IF(G$3&gt;'Resultados_Tarifa e TIR'!$B$12,"",'Resultados_Composição CT'!$C$10*-12)</f>
        <v>-91881.449567999996</v>
      </c>
      <c r="H16" s="772">
        <f>IF(H$3&gt;'Resultados_Tarifa e TIR'!$B$12,"",'Resultados_Composição CT'!$C$10*-12)</f>
        <v>-91881.449567999996</v>
      </c>
      <c r="I16" s="772">
        <f>IF(I$3&gt;'Resultados_Tarifa e TIR'!$B$12,"",'Resultados_Composição CT'!$C$10*-12)</f>
        <v>-91881.449567999996</v>
      </c>
      <c r="J16" s="772">
        <f>IF(J$3&gt;'Resultados_Tarifa e TIR'!$B$12,"",'Resultados_Composição CT'!$C$10*-12)</f>
        <v>-91881.449567999996</v>
      </c>
      <c r="K16" s="772">
        <f>IF(K$3&gt;'Resultados_Tarifa e TIR'!$B$12,"",'Resultados_Composição CT'!$C$10*-12)</f>
        <v>-91881.449567999996</v>
      </c>
      <c r="L16" s="772">
        <f>IF(L$3&gt;'Resultados_Tarifa e TIR'!$B$12,"",'Resultados_Composição CT'!$C$10*-12)</f>
        <v>-91881.449567999996</v>
      </c>
      <c r="M16" s="772">
        <f>IF(M$3&gt;'Resultados_Tarifa e TIR'!$B$12,"",'Resultados_Composição CT'!$C$10*-12)</f>
        <v>-91881.449567999996</v>
      </c>
      <c r="N16" s="772">
        <f>IF(N$3&gt;'Resultados_Tarifa e TIR'!$B$12,"",'Resultados_Composição CT'!$C$10*-12)</f>
        <v>-91881.449567999996</v>
      </c>
      <c r="O16" s="772">
        <f>IF(O$3&gt;'Resultados_Tarifa e TIR'!$B$12,"",'Resultados_Composição CT'!$C$10*-12)</f>
        <v>-91881.449567999996</v>
      </c>
      <c r="P16" s="772">
        <f>IF(P$3&gt;'Resultados_Tarifa e TIR'!$B$12,"",'Resultados_Composição CT'!$C$10*-12)</f>
        <v>-91881.449567999996</v>
      </c>
      <c r="Q16" s="772">
        <f>IF(Q$3&gt;'Resultados_Tarifa e TIR'!$B$12,"",'Resultados_Composição CT'!$C$10*-12)</f>
        <v>-91881.449567999996</v>
      </c>
      <c r="R16" s="772" t="str">
        <f>IF(R$3&gt;'Resultados_Tarifa e TIR'!$B$12,"",'Resultados_Composição CT'!$C$10*-12)</f>
        <v/>
      </c>
      <c r="S16" s="772" t="str">
        <f>IF(S$3&gt;'Resultados_Tarifa e TIR'!$B$12,"",'Resultados_Composição CT'!$C$10*-12)</f>
        <v/>
      </c>
      <c r="T16" s="772" t="str">
        <f>IF(T$3&gt;'Resultados_Tarifa e TIR'!$B$12,"",'Resultados_Composição CT'!$C$10*-12)</f>
        <v/>
      </c>
      <c r="U16" s="772" t="str">
        <f>IF(U$3&gt;'Resultados_Tarifa e TIR'!$B$12,"",'Resultados_Composição CT'!$C$10*-12)</f>
        <v/>
      </c>
      <c r="V16" s="772" t="str">
        <f>IF(V$3&gt;'Resultados_Tarifa e TIR'!$B$12,"",'Resultados_Composição CT'!$C$10*-12)</f>
        <v/>
      </c>
      <c r="W16" s="772" t="str">
        <f>IF(W$3&gt;'Resultados_Tarifa e TIR'!$B$12,"",'Resultados_Composição CT'!$C$10*-12)</f>
        <v/>
      </c>
      <c r="X16" s="772" t="str">
        <f>IF(X$3&gt;'Resultados_Tarifa e TIR'!$B$12,"",'Resultados_Composição CT'!$C$10*-12)</f>
        <v/>
      </c>
      <c r="Y16" s="772" t="str">
        <f>IF(Y$3&gt;'Resultados_Tarifa e TIR'!$B$12,"",'Resultados_Composição CT'!$C$10*-12)</f>
        <v/>
      </c>
      <c r="Z16" s="772" t="str">
        <f>IF(Z$3&gt;'Resultados_Tarifa e TIR'!$B$12,"",'Resultados_Composição CT'!$C$10*-12)</f>
        <v/>
      </c>
      <c r="AA16" s="772" t="str">
        <f>IF(AA$3&gt;'Resultados_Tarifa e TIR'!$B$12,"",'Resultados_Composição CT'!$C$10*-12)</f>
        <v/>
      </c>
      <c r="AB16" s="772"/>
      <c r="AC16" s="772"/>
    </row>
    <row r="17" spans="1:33" s="696" customFormat="1" x14ac:dyDescent="0.2">
      <c r="A17" s="771"/>
      <c r="B17" s="764" t="s">
        <v>1380</v>
      </c>
      <c r="C17" s="772">
        <f>IF(C$3&gt;'Resultados_Tarifa e TIR'!$B$12,"",'Resultados_Composição CT'!$C$11*-12)</f>
        <v>-33757.214400000004</v>
      </c>
      <c r="D17" s="772">
        <f>IF(D$3&gt;'Resultados_Tarifa e TIR'!$B$12,"",'Resultados_Composição CT'!$C$11*-12)</f>
        <v>-33757.214400000004</v>
      </c>
      <c r="E17" s="772">
        <f>IF(E$3&gt;'Resultados_Tarifa e TIR'!$B$12,"",'Resultados_Composição CT'!$C$11*-12)</f>
        <v>-33757.214400000004</v>
      </c>
      <c r="F17" s="772">
        <f>IF(F$3&gt;'Resultados_Tarifa e TIR'!$B$12,"",'Resultados_Composição CT'!$C$11*-12)</f>
        <v>-33757.214400000004</v>
      </c>
      <c r="G17" s="772">
        <f>IF(G$3&gt;'Resultados_Tarifa e TIR'!$B$12,"",'Resultados_Composição CT'!$C$11*-12)</f>
        <v>-33757.214400000004</v>
      </c>
      <c r="H17" s="772">
        <f>IF(H$3&gt;'Resultados_Tarifa e TIR'!$B$12,"",'Resultados_Composição CT'!$C$11*-12)</f>
        <v>-33757.214400000004</v>
      </c>
      <c r="I17" s="772">
        <f>IF(I$3&gt;'Resultados_Tarifa e TIR'!$B$12,"",'Resultados_Composição CT'!$C$11*-12)</f>
        <v>-33757.214400000004</v>
      </c>
      <c r="J17" s="772">
        <f>IF(J$3&gt;'Resultados_Tarifa e TIR'!$B$12,"",'Resultados_Composição CT'!$C$11*-12)</f>
        <v>-33757.214400000004</v>
      </c>
      <c r="K17" s="772">
        <f>IF(K$3&gt;'Resultados_Tarifa e TIR'!$B$12,"",'Resultados_Composição CT'!$C$11*-12)</f>
        <v>-33757.214400000004</v>
      </c>
      <c r="L17" s="772">
        <f>IF(L$3&gt;'Resultados_Tarifa e TIR'!$B$12,"",'Resultados_Composição CT'!$C$11*-12)</f>
        <v>-33757.214400000004</v>
      </c>
      <c r="M17" s="772">
        <f>IF(M$3&gt;'Resultados_Tarifa e TIR'!$B$12,"",'Resultados_Composição CT'!$C$11*-12)</f>
        <v>-33757.214400000004</v>
      </c>
      <c r="N17" s="772">
        <f>IF(N$3&gt;'Resultados_Tarifa e TIR'!$B$12,"",'Resultados_Composição CT'!$C$11*-12)</f>
        <v>-33757.214400000004</v>
      </c>
      <c r="O17" s="772">
        <f>IF(O$3&gt;'Resultados_Tarifa e TIR'!$B$12,"",'Resultados_Composição CT'!$C$11*-12)</f>
        <v>-33757.214400000004</v>
      </c>
      <c r="P17" s="772">
        <f>IF(P$3&gt;'Resultados_Tarifa e TIR'!$B$12,"",'Resultados_Composição CT'!$C$11*-12)</f>
        <v>-33757.214400000004</v>
      </c>
      <c r="Q17" s="772">
        <f>IF(Q$3&gt;'Resultados_Tarifa e TIR'!$B$12,"",'Resultados_Composição CT'!$C$11*-12)</f>
        <v>-33757.214400000004</v>
      </c>
      <c r="R17" s="772" t="str">
        <f>IF(R$3&gt;'Resultados_Tarifa e TIR'!$B$12,"",'Resultados_Composição CT'!$C$11*-12)</f>
        <v/>
      </c>
      <c r="S17" s="772" t="str">
        <f>IF(S$3&gt;'Resultados_Tarifa e TIR'!$B$12,"",'Resultados_Composição CT'!$C$11*-12)</f>
        <v/>
      </c>
      <c r="T17" s="772" t="str">
        <f>IF(T$3&gt;'Resultados_Tarifa e TIR'!$B$12,"",'Resultados_Composição CT'!$C$11*-12)</f>
        <v/>
      </c>
      <c r="U17" s="772" t="str">
        <f>IF(U$3&gt;'Resultados_Tarifa e TIR'!$B$12,"",'Resultados_Composição CT'!$C$11*-12)</f>
        <v/>
      </c>
      <c r="V17" s="772" t="str">
        <f>IF(V$3&gt;'Resultados_Tarifa e TIR'!$B$12,"",'Resultados_Composição CT'!$C$11*-12)</f>
        <v/>
      </c>
      <c r="W17" s="772" t="str">
        <f>IF(W$3&gt;'Resultados_Tarifa e TIR'!$B$12,"",'Resultados_Composição CT'!$C$11*-12)</f>
        <v/>
      </c>
      <c r="X17" s="772" t="str">
        <f>IF(X$3&gt;'Resultados_Tarifa e TIR'!$B$12,"",'Resultados_Composição CT'!$C$11*-12)</f>
        <v/>
      </c>
      <c r="Y17" s="772" t="str">
        <f>IF(Y$3&gt;'Resultados_Tarifa e TIR'!$B$12,"",'Resultados_Composição CT'!$C$11*-12)</f>
        <v/>
      </c>
      <c r="Z17" s="772" t="str">
        <f>IF(Z$3&gt;'Resultados_Tarifa e TIR'!$B$12,"",'Resultados_Composição CT'!$C$11*-12)</f>
        <v/>
      </c>
      <c r="AA17" s="772" t="str">
        <f>IF(AA$3&gt;'Resultados_Tarifa e TIR'!$B$12,"",'Resultados_Composição CT'!$C$11*-12)</f>
        <v/>
      </c>
      <c r="AB17" s="772"/>
      <c r="AC17" s="772"/>
    </row>
    <row r="18" spans="1:33" s="696" customFormat="1" x14ac:dyDescent="0.2">
      <c r="A18" s="771"/>
      <c r="B18" s="764" t="s">
        <v>1381</v>
      </c>
      <c r="C18" s="772">
        <f>IF(C$3&gt;'Resultados_Tarifa e TIR'!$B$12,"",'Resultados_Composição CT'!$C$12*-12)</f>
        <v>-111892.92410880001</v>
      </c>
      <c r="D18" s="772">
        <f>IF(D$3&gt;'Resultados_Tarifa e TIR'!$B$12,"",'Resultados_Composição CT'!$C$12*-12)</f>
        <v>-111892.92410880001</v>
      </c>
      <c r="E18" s="772">
        <f>IF(E$3&gt;'Resultados_Tarifa e TIR'!$B$12,"",'Resultados_Composição CT'!$C$12*-12)</f>
        <v>-111892.92410880001</v>
      </c>
      <c r="F18" s="772">
        <f>IF(F$3&gt;'Resultados_Tarifa e TIR'!$B$12,"",'Resultados_Composição CT'!$C$12*-12)</f>
        <v>-111892.92410880001</v>
      </c>
      <c r="G18" s="772">
        <f>IF(G$3&gt;'Resultados_Tarifa e TIR'!$B$12,"",'Resultados_Composição CT'!$C$12*-12)</f>
        <v>-111892.92410880001</v>
      </c>
      <c r="H18" s="772">
        <f>IF(H$3&gt;'Resultados_Tarifa e TIR'!$B$12,"",'Resultados_Composição CT'!$C$12*-12)</f>
        <v>-111892.92410880001</v>
      </c>
      <c r="I18" s="772">
        <f>IF(I$3&gt;'Resultados_Tarifa e TIR'!$B$12,"",'Resultados_Composição CT'!$C$12*-12)</f>
        <v>-111892.92410880001</v>
      </c>
      <c r="J18" s="772">
        <f>IF(J$3&gt;'Resultados_Tarifa e TIR'!$B$12,"",'Resultados_Composição CT'!$C$12*-12)</f>
        <v>-111892.92410880001</v>
      </c>
      <c r="K18" s="772">
        <f>IF(K$3&gt;'Resultados_Tarifa e TIR'!$B$12,"",'Resultados_Composição CT'!$C$12*-12)</f>
        <v>-111892.92410880001</v>
      </c>
      <c r="L18" s="772">
        <f>IF(L$3&gt;'Resultados_Tarifa e TIR'!$B$12,"",'Resultados_Composição CT'!$C$12*-12)</f>
        <v>-111892.92410880001</v>
      </c>
      <c r="M18" s="772">
        <f>IF(M$3&gt;'Resultados_Tarifa e TIR'!$B$12,"",'Resultados_Composição CT'!$C$12*-12)</f>
        <v>-111892.92410880001</v>
      </c>
      <c r="N18" s="772">
        <f>IF(N$3&gt;'Resultados_Tarifa e TIR'!$B$12,"",'Resultados_Composição CT'!$C$12*-12)</f>
        <v>-111892.92410880001</v>
      </c>
      <c r="O18" s="772">
        <f>IF(O$3&gt;'Resultados_Tarifa e TIR'!$B$12,"",'Resultados_Composição CT'!$C$12*-12)</f>
        <v>-111892.92410880001</v>
      </c>
      <c r="P18" s="772">
        <f>IF(P$3&gt;'Resultados_Tarifa e TIR'!$B$12,"",'Resultados_Composição CT'!$C$12*-12)</f>
        <v>-111892.92410880001</v>
      </c>
      <c r="Q18" s="772">
        <f>IF(Q$3&gt;'Resultados_Tarifa e TIR'!$B$12,"",'Resultados_Composição CT'!$C$12*-12)</f>
        <v>-111892.92410880001</v>
      </c>
      <c r="R18" s="772" t="str">
        <f>IF(R$3&gt;'Resultados_Tarifa e TIR'!$B$12,"",'Resultados_Composição CT'!$C$12*-12)</f>
        <v/>
      </c>
      <c r="S18" s="772" t="str">
        <f>IF(S$3&gt;'Resultados_Tarifa e TIR'!$B$12,"",'Resultados_Composição CT'!$C$12*-12)</f>
        <v/>
      </c>
      <c r="T18" s="772" t="str">
        <f>IF(T$3&gt;'Resultados_Tarifa e TIR'!$B$12,"",'Resultados_Composição CT'!$C$12*-12)</f>
        <v/>
      </c>
      <c r="U18" s="772" t="str">
        <f>IF(U$3&gt;'Resultados_Tarifa e TIR'!$B$12,"",'Resultados_Composição CT'!$C$12*-12)</f>
        <v/>
      </c>
      <c r="V18" s="772" t="str">
        <f>IF(V$3&gt;'Resultados_Tarifa e TIR'!$B$12,"",'Resultados_Composição CT'!$C$12*-12)</f>
        <v/>
      </c>
      <c r="W18" s="772" t="str">
        <f>IF(W$3&gt;'Resultados_Tarifa e TIR'!$B$12,"",'Resultados_Composição CT'!$C$12*-12)</f>
        <v/>
      </c>
      <c r="X18" s="772" t="str">
        <f>IF(X$3&gt;'Resultados_Tarifa e TIR'!$B$12,"",'Resultados_Composição CT'!$C$12*-12)</f>
        <v/>
      </c>
      <c r="Y18" s="772" t="str">
        <f>IF(Y$3&gt;'Resultados_Tarifa e TIR'!$B$12,"",'Resultados_Composição CT'!$C$12*-12)</f>
        <v/>
      </c>
      <c r="Z18" s="772" t="str">
        <f>IF(Z$3&gt;'Resultados_Tarifa e TIR'!$B$12,"",'Resultados_Composição CT'!$C$12*-12)</f>
        <v/>
      </c>
      <c r="AA18" s="772" t="str">
        <f>IF(AA$3&gt;'Resultados_Tarifa e TIR'!$B$12,"",'Resultados_Composição CT'!$C$12*-12)</f>
        <v/>
      </c>
      <c r="AB18" s="772"/>
      <c r="AC18" s="772"/>
    </row>
    <row r="19" spans="1:33" s="696" customFormat="1" x14ac:dyDescent="0.2">
      <c r="A19" s="771"/>
      <c r="B19" s="764" t="s">
        <v>1382</v>
      </c>
      <c r="C19" s="772">
        <f>IF(C$3&gt;'Resultados_Tarifa e TIR'!$B$12,"",((((SUM('Ent_Plano Renovação Frota'!L8:N10))*'Ref_A.VII. Peças e acessórios '!$F$9)+((SUM('Ent_Plano Renovação Frota'!L11:N12))*'Ref_A.VII. Peças e acessórios '!$F$10)+((SUM('Ent_Plano Renovação Frota'!L13:N14))*'Ref_A.VII. Peças e acessórios '!$F$11)+((SUM('Ent_Plano Renovação Frota'!L15:N16))*'Ref_A.VII. Peças e acessórios '!$F$12)+((SUM('Ent_Plano Renovação Frota'!L17:N18))*'Ref_A.VII. Peças e acessórios '!$F$13)+((SUM('Ent_Plano Renovação Frota'!L19:N28))*'Ref_A.VII. Peças e acessórios '!$F$14))*('ANTP_2.1.b Veículos'!$D$60/12))*-12)</f>
        <v>-735768.00000000012</v>
      </c>
      <c r="D19" s="772">
        <f>IF(D$3&gt;'Resultados_Tarifa e TIR'!$B$12,"",((((SUM('Ent_Plano Renovação Frota'!L33:N35))*'Ref_A.VII. Peças e acessórios '!$F$9)+((SUM('Ent_Plano Renovação Frota'!L36:N37))*'Ref_A.VII. Peças e acessórios '!$F$10)+((SUM('Ent_Plano Renovação Frota'!L38:N39))*'Ref_A.VII. Peças e acessórios '!$F$11)+((SUM('Ent_Plano Renovação Frota'!L40:N41))*'Ref_A.VII. Peças e acessórios '!$F$12)+((SUM('Ent_Plano Renovação Frota'!L42:N43))*'Ref_A.VII. Peças e acessórios '!$F$13)+((SUM('Ent_Plano Renovação Frota'!L44:N53))*'Ref_A.VII. Peças e acessórios '!$F$14))*('ANTP_2.1.b Veículos'!$D$60/12))*-12)</f>
        <v>-735768.00000000012</v>
      </c>
      <c r="E19" s="772">
        <f>IF(E$3&gt;'Resultados_Tarifa e TIR'!$B$12,"",((((SUM('Ent_Plano Renovação Frota'!L58:N60))*'Ref_A.VII. Peças e acessórios '!$F$9)+((SUM('Ent_Plano Renovação Frota'!L61:N62))*'Ref_A.VII. Peças e acessórios '!$F$10)+((SUM('Ent_Plano Renovação Frota'!L63:N64))*'Ref_A.VII. Peças e acessórios '!$F$11)+((SUM('Ent_Plano Renovação Frota'!L65:N66))*'Ref_A.VII. Peças e acessórios '!$F$12)+((SUM('Ent_Plano Renovação Frota'!L67:N68))*'Ref_A.VII. Peças e acessórios '!$F$13)+((SUM('Ent_Plano Renovação Frota'!L69:N78))*'Ref_A.VII. Peças e acessórios '!$F$14))*('ANTP_2.1.b Veículos'!$D$60/12))*-12)</f>
        <v>-758064</v>
      </c>
      <c r="F19" s="772">
        <f>IF(F$3&gt;'Resultados_Tarifa e TIR'!$B$12,"",((((SUM('Ent_Plano Renovação Frota'!L83:N85))*'Ref_A.VII. Peças e acessórios '!$F$9)+((SUM('Ent_Plano Renovação Frota'!L86:N87))*'Ref_A.VII. Peças e acessórios '!$F$10)+((SUM('Ent_Plano Renovação Frota'!L88:N89))*'Ref_A.VII. Peças e acessórios '!$F$11)+((SUM('Ent_Plano Renovação Frota'!L90:N91))*'Ref_A.VII. Peças e acessórios '!$F$12)+((SUM('Ent_Plano Renovação Frota'!L92:N93))*'Ref_A.VII. Peças e acessórios '!$F$13)+((SUM('Ent_Plano Renovação Frota'!L94:N103))*'Ref_A.VII. Peças e acessórios '!$F$14))*('ANTP_2.1.b Veículos'!$D$60/12))*-12)</f>
        <v>-758064</v>
      </c>
      <c r="G19" s="772">
        <f>IF(G$3&gt;'Resultados_Tarifa e TIR'!$B$12,"",((((SUM('Ent_Plano Renovação Frota'!L108:N110))*'Ref_A.VII. Peças e acessórios '!$F$9)+((SUM('Ent_Plano Renovação Frota'!L111:N112))*'Ref_A.VII. Peças e acessórios '!$F$10)+((SUM('Ent_Plano Renovação Frota'!L113:N114))*'Ref_A.VII. Peças e acessórios '!$F$11)+((SUM('Ent_Plano Renovação Frota'!L115:N116))*'Ref_A.VII. Peças e acessórios '!$F$12)+((SUM('Ent_Plano Renovação Frota'!L117:N118))*'Ref_A.VII. Peças e acessórios '!$F$13)+((SUM('Ent_Plano Renovação Frota'!L119:N128))*'Ref_A.VII. Peças e acessórios '!$F$14))*('ANTP_2.1.b Veículos'!$D$60/12))*-12)</f>
        <v>-765496</v>
      </c>
      <c r="H19" s="772">
        <f>IF(H$3&gt;'Resultados_Tarifa e TIR'!$B$12,"",((((SUM('Ent_Plano Renovação Frota'!L133:N135))*'Ref_A.VII. Peças e acessórios '!$F$9)+((SUM('Ent_Plano Renovação Frota'!L136:N137))*'Ref_A.VII. Peças e acessórios '!$F$10)+((SUM('Ent_Plano Renovação Frota'!L138:N139))*'Ref_A.VII. Peças e acessórios '!$F$11)+((SUM('Ent_Plano Renovação Frota'!L140:N141))*'Ref_A.VII. Peças e acessórios '!$F$12)+((SUM('Ent_Plano Renovação Frota'!L142:N143))*'Ref_A.VII. Peças e acessórios '!$F$13)+((SUM('Ent_Plano Renovação Frota'!L144:N153))*'Ref_A.VII. Peças e acessórios '!$F$14))*('ANTP_2.1.b Veículos'!$D$60/12))*-12)</f>
        <v>-735768.00000000012</v>
      </c>
      <c r="I19" s="772">
        <f>IF(I$3&gt;'Resultados_Tarifa e TIR'!$B$12,"",((((SUM('Ent_Plano Renovação Frota'!L158:N160))*'Ref_A.VII. Peças e acessórios '!$F$9)+((SUM('Ent_Plano Renovação Frota'!L161:N162))*'Ref_A.VII. Peças e acessórios '!$F$10)+((SUM('Ent_Plano Renovação Frota'!L163:N164))*'Ref_A.VII. Peças e acessórios '!$F$11)+((SUM('Ent_Plano Renovação Frota'!L165:N166))*'Ref_A.VII. Peças e acessórios '!$F$12)+((SUM('Ent_Plano Renovação Frota'!L167:N168))*'Ref_A.VII. Peças e acessórios '!$F$13)+((SUM('Ent_Plano Renovação Frota'!L169:N178))*'Ref_A.VII. Peças e acessórios '!$F$14))*('ANTP_2.1.b Veículos'!$D$60/12))*-12)</f>
        <v>-780360.00000000012</v>
      </c>
      <c r="J19" s="772">
        <f>IF(J$3&gt;'Resultados_Tarifa e TIR'!$B$12,"",((((SUM('Ent_Plano Renovação Frota'!L183:N185))*'Ref_A.VII. Peças e acessórios '!$F$9)+((SUM('Ent_Plano Renovação Frota'!L186:N187))*'Ref_A.VII. Peças e acessórios '!$F$10)+((SUM('Ent_Plano Renovação Frota'!L188:N189))*'Ref_A.VII. Peças e acessórios '!$F$11)+((SUM('Ent_Plano Renovação Frota'!L190:N191))*'Ref_A.VII. Peças e acessórios '!$F$12)+((SUM('Ent_Plano Renovação Frota'!L192:N193))*'Ref_A.VII. Peças e acessórios '!$F$13)+((SUM('Ent_Plano Renovação Frota'!L194:N203))*'Ref_A.VII. Peças e acessórios '!$F$14))*('ANTP_2.1.b Veículos'!$D$60/12))*-12)</f>
        <v>-728336</v>
      </c>
      <c r="K19" s="772">
        <f>IF(K$3&gt;'Resultados_Tarifa e TIR'!$B$12,"",((((SUM('Ent_Plano Renovação Frota'!L208:N210))*'Ref_A.VII. Peças e acessórios '!$F$9)+((SUM('Ent_Plano Renovação Frota'!L211:N212))*'Ref_A.VII. Peças e acessórios '!$F$10)+((SUM('Ent_Plano Renovação Frota'!L213:N214))*'Ref_A.VII. Peças e acessórios '!$F$11)+((SUM('Ent_Plano Renovação Frota'!L215:N216))*'Ref_A.VII. Peças e acessórios '!$F$12)+((SUM('Ent_Plano Renovação Frota'!L217:N218))*'Ref_A.VII. Peças e acessórios '!$F$13)+((SUM('Ent_Plano Renovação Frota'!L219:N228))*'Ref_A.VII. Peças e acessórios '!$F$14))*('ANTP_2.1.b Veículos'!$D$60/12))*-12)</f>
        <v>-750632.00000000023</v>
      </c>
      <c r="L19" s="772">
        <f>IF(L$3&gt;'Resultados_Tarifa e TIR'!$B$12,"",((((SUM('Ent_Plano Renovação Frota'!L233:N235))*'Ref_A.VII. Peças e acessórios '!$F$9)+((SUM('Ent_Plano Renovação Frota'!L236:N237))*'Ref_A.VII. Peças e acessórios '!$F$10)+((SUM('Ent_Plano Renovação Frota'!L238:N239))*'Ref_A.VII. Peças e acessórios '!$F$11)+((SUM('Ent_Plano Renovação Frota'!L240:N241))*'Ref_A.VII. Peças e acessórios '!$F$12)+((SUM('Ent_Plano Renovação Frota'!L242:N243))*'Ref_A.VII. Peças e acessórios '!$F$13)+((SUM('Ent_Plano Renovação Frota'!L244:N253))*'Ref_A.VII. Peças e acessórios '!$F$14))*('ANTP_2.1.b Veículos'!$D$60/12))*-12)</f>
        <v>-772928</v>
      </c>
      <c r="M19" s="772">
        <f>IF(M$3&gt;'Resultados_Tarifa e TIR'!$B$12,"",((((SUM('Ent_Plano Renovação Frota'!L258:N260))*'Ref_A.VII. Peças e acessórios '!$F$9)+((SUM('Ent_Plano Renovação Frota'!L261:N262))*'Ref_A.VII. Peças e acessórios '!$F$10)+((SUM('Ent_Plano Renovação Frota'!L263:N264))*'Ref_A.VII. Peças e acessórios '!$F$11)+((SUM('Ent_Plano Renovação Frota'!L265:N266))*'Ref_A.VII. Peças e acessórios '!$F$12)+((SUM('Ent_Plano Renovação Frota'!L267:N268))*'Ref_A.VII. Peças e acessórios '!$F$13)+((SUM('Ent_Plano Renovação Frota'!L269:N278))*'Ref_A.VII. Peças e acessórios '!$F$14))*('ANTP_2.1.b Veículos'!$D$60/12))*-12)</f>
        <v>-758064</v>
      </c>
      <c r="N19" s="772">
        <f>IF(N$3&gt;'Resultados_Tarifa e TIR'!$B$12,"",((((SUM('Ent_Plano Renovação Frota'!L283:N285))*'Ref_A.VII. Peças e acessórios '!$F$9)+((SUM('Ent_Plano Renovação Frota'!L286:N287))*'Ref_A.VII. Peças e acessórios '!$F$10)+((SUM('Ent_Plano Renovação Frota'!L288:N289))*'Ref_A.VII. Peças e acessórios '!$F$11)+((SUM('Ent_Plano Renovação Frota'!L290:N291))*'Ref_A.VII. Peças e acessórios '!$F$12)+((SUM('Ent_Plano Renovação Frota'!L292:N293))*'Ref_A.VII. Peças e acessórios '!$F$13)+((SUM('Ent_Plano Renovação Frota'!L294:N303))*'Ref_A.VII. Peças e acessórios '!$F$14))*('ANTP_2.1.b Veículos'!$D$60/12))*-12)</f>
        <v>-758064</v>
      </c>
      <c r="O19" s="772">
        <f>IF(O$3&gt;'Resultados_Tarifa e TIR'!$B$12,"",((((SUM('Ent_Plano Renovação Frota'!L308:N310))*'Ref_A.VII. Peças e acessórios '!$F$9)+((SUM('Ent_Plano Renovação Frota'!L311:N312))*'Ref_A.VII. Peças e acessórios '!$F$10)+((SUM('Ent_Plano Renovação Frota'!L313:N314))*'Ref_A.VII. Peças e acessórios '!$F$11)+((SUM('Ent_Plano Renovação Frota'!L315:N316))*'Ref_A.VII. Peças e acessórios '!$F$12)+((SUM('Ent_Plano Renovação Frota'!L317:N318))*'Ref_A.VII. Peças e acessórios '!$F$13)+((SUM('Ent_Plano Renovação Frota'!L319:N328))*'Ref_A.VII. Peças e acessórios '!$F$14))*('ANTP_2.1.b Veículos'!$D$60/12))*-12)</f>
        <v>-795224</v>
      </c>
      <c r="P19" s="772">
        <f>IF(P$3&gt;'Resultados_Tarifa e TIR'!$B$12,"",((((SUM('Ent_Plano Renovação Frota'!L333:N335))*'Ref_A.VII. Peças e acessórios '!$F$9)+((SUM('Ent_Plano Renovação Frota'!L336:N337))*'Ref_A.VII. Peças e acessórios '!$F$10)+((SUM('Ent_Plano Renovação Frota'!L338:N339))*'Ref_A.VII. Peças e acessórios '!$F$11)+((SUM('Ent_Plano Renovação Frota'!L340:N341))*'Ref_A.VII. Peças e acessórios '!$F$12)+((SUM('Ent_Plano Renovação Frota'!L342:N343))*'Ref_A.VII. Peças e acessórios '!$F$13)+((SUM('Ent_Plano Renovação Frota'!L344:N353))*'Ref_A.VII. Peças e acessórios '!$F$14))*('ANTP_2.1.b Veículos'!$D$60/12))*-12)</f>
        <v>-713472</v>
      </c>
      <c r="Q19" s="772">
        <f>IF(Q$3&gt;'Resultados_Tarifa e TIR'!$B$12,"",((((SUM('Ent_Plano Renovação Frota'!L358:N360))*'Ref_A.VII. Peças e acessórios '!$F$9)+((SUM('Ent_Plano Renovação Frota'!L361:N362))*'Ref_A.VII. Peças e acessórios '!$F$10)+((SUM('Ent_Plano Renovação Frota'!L363:N364))*'Ref_A.VII. Peças e acessórios '!$F$11)+((SUM('Ent_Plano Renovação Frota'!L365:N366))*'Ref_A.VII. Peças e acessórios '!$F$12)+((SUM('Ent_Plano Renovação Frota'!L367:N368))*'Ref_A.VII. Peças e acessórios '!$F$13)+((SUM('Ent_Plano Renovação Frota'!L369:N378))*'Ref_A.VII. Peças e acessórios '!$F$14))*('ANTP_2.1.b Veículos'!$D$60/12))*-12)</f>
        <v>-772928</v>
      </c>
      <c r="R19" s="772" t="str">
        <f>IF(R$3&gt;'Resultados_Tarifa e TIR'!$B$12,"",((((SUM('Ent_Plano Renovação Frota'!L383:N385))*'Ref_A.VII. Peças e acessórios '!$F$9)+((SUM('Ent_Plano Renovação Frota'!L386:N387))*'Ref_A.VII. Peças e acessórios '!$F$10)+((SUM('Ent_Plano Renovação Frota'!L388:N389))*'Ref_A.VII. Peças e acessórios '!$F$11)+((SUM('Ent_Plano Renovação Frota'!L390:N391))*'Ref_A.VII. Peças e acessórios '!$F$12)+((SUM('Ent_Plano Renovação Frota'!L392:N393))*'Ref_A.VII. Peças e acessórios '!$F$13)+((SUM('Ent_Plano Renovação Frota'!L394:N403))*'Ref_A.VII. Peças e acessórios '!$F$14))*('ANTP_2.1.b Veículos'!$D$60/12))*-12)</f>
        <v/>
      </c>
      <c r="S19" s="772" t="str">
        <f>IF(S$3&gt;'Resultados_Tarifa e TIR'!$B$12,"",((((SUM('Ent_Plano Renovação Frota'!L408:N410))*'Ref_A.VII. Peças e acessórios '!$F$9)+((SUM('Ent_Plano Renovação Frota'!L411:N412))*'Ref_A.VII. Peças e acessórios '!$F$10)+((SUM('Ent_Plano Renovação Frota'!L413:N414))*'Ref_A.VII. Peças e acessórios '!$F$11)+((SUM('Ent_Plano Renovação Frota'!L415:N416))*'Ref_A.VII. Peças e acessórios '!$F$12)+((SUM('Ent_Plano Renovação Frota'!L417:N418))*'Ref_A.VII. Peças e acessórios '!$F$13)+((SUM('Ent_Plano Renovação Frota'!L419:N428))*'Ref_A.VII. Peças e acessórios '!$F$14))*('ANTP_2.1.b Veículos'!$D$60/12))*-12)</f>
        <v/>
      </c>
      <c r="T19" s="772" t="str">
        <f>IF(T$3&gt;'Resultados_Tarifa e TIR'!$B$12,"",((((SUM('Ent_Plano Renovação Frota'!L433:N435))*'Ref_A.VII. Peças e acessórios '!$F$9)+((SUM('Ent_Plano Renovação Frota'!L436:N437))*'Ref_A.VII. Peças e acessórios '!$F$10)+((SUM('Ent_Plano Renovação Frota'!L438:N439))*'Ref_A.VII. Peças e acessórios '!$F$11)+((SUM('Ent_Plano Renovação Frota'!L440:N441))*'Ref_A.VII. Peças e acessórios '!$F$12)+((SUM('Ent_Plano Renovação Frota'!L442:N443))*'Ref_A.VII. Peças e acessórios '!$F$13)+((SUM('Ent_Plano Renovação Frota'!L444:N453))*'Ref_A.VII. Peças e acessórios '!$F$14))*('ANTP_2.1.b Veículos'!$D$60/12))*-12)</f>
        <v/>
      </c>
      <c r="U19" s="696" t="str">
        <f>IF(U$3&gt;'Resultados_Tarifa e TIR'!$B$12,"",((((SUM('Ent_Plano Renovação Frota'!L458:N460))*'Ref_A.VII. Peças e acessórios '!$F$9)+((SUM('Ent_Plano Renovação Frota'!L461:N462))*'Ref_A.VII. Peças e acessórios '!$F$10)+((SUM('Ent_Plano Renovação Frota'!L463:N464))*'Ref_A.VII. Peças e acessórios '!$F$11)+((SUM('Ent_Plano Renovação Frota'!L465:N466))*'Ref_A.VII. Peças e acessórios '!$F$12)+((SUM('Ent_Plano Renovação Frota'!L467:N468))*'Ref_A.VII. Peças e acessórios '!$F$13)+((SUM('Ent_Plano Renovação Frota'!L469:N478))*'Ref_A.VII. Peças e acessórios '!$F$14))*('ANTP_2.1.b Veículos'!$D$60/12))*-12)</f>
        <v/>
      </c>
      <c r="V19" s="772" t="str">
        <f>IF(V$3&gt;'Resultados_Tarifa e TIR'!$B$12,"",((((SUM('Ent_Plano Renovação Frota'!L483:N485))*'Ref_A.VII. Peças e acessórios '!$F$9)+((SUM('Ent_Plano Renovação Frota'!L486:N487))*'Ref_A.VII. Peças e acessórios '!$F$10)+((SUM('Ent_Plano Renovação Frota'!L488:N489))*'Ref_A.VII. Peças e acessórios '!$F$11)+((SUM('Ent_Plano Renovação Frota'!L490:N491))*'Ref_A.VII. Peças e acessórios '!$F$12)+((SUM('Ent_Plano Renovação Frota'!L492:N493))*'Ref_A.VII. Peças e acessórios '!$F$13)+((SUM('Ent_Plano Renovação Frota'!L494:N503))*'Ref_A.VII. Peças e acessórios '!$F$14))*('ANTP_2.1.b Veículos'!$D$60/12))*-12)</f>
        <v/>
      </c>
      <c r="W19" s="772" t="str">
        <f>IF(W$3&gt;'Resultados_Tarifa e TIR'!$B$12,"",((((SUM('Ent_Plano Renovação Frota'!L508:N510))*'Ref_A.VII. Peças e acessórios '!$F$9)+((SUM('Ent_Plano Renovação Frota'!L511:N512))*'Ref_A.VII. Peças e acessórios '!$F$10)+((SUM('Ent_Plano Renovação Frota'!L513:N514))*'Ref_A.VII. Peças e acessórios '!$F$11)+((SUM('Ent_Plano Renovação Frota'!L515:N516))*'Ref_A.VII. Peças e acessórios '!$F$12)+((SUM('Ent_Plano Renovação Frota'!L517:N518))*'Ref_A.VII. Peças e acessórios '!$F$13)+((SUM('Ent_Plano Renovação Frota'!L519:N528))*'Ref_A.VII. Peças e acessórios '!$F$14))*('ANTP_2.1.b Veículos'!$D$60/12))*-12)</f>
        <v/>
      </c>
      <c r="X19" s="772" t="str">
        <f>IF(X$3&gt;'Resultados_Tarifa e TIR'!$B$12,"",((((SUM('Ent_Plano Renovação Frota'!L533:N535))*'Ref_A.VII. Peças e acessórios '!$F$9)+((SUM('Ent_Plano Renovação Frota'!L536:N537))*'Ref_A.VII. Peças e acessórios '!$F$10)+((SUM('Ent_Plano Renovação Frota'!L538:N539))*'Ref_A.VII. Peças e acessórios '!$F$11)+((SUM('Ent_Plano Renovação Frota'!L540:N541))*'Ref_A.VII. Peças e acessórios '!$F$12)+((SUM('Ent_Plano Renovação Frota'!L542:N543))*'Ref_A.VII. Peças e acessórios '!$F$13)+((SUM('Ent_Plano Renovação Frota'!L544:N553))*'Ref_A.VII. Peças e acessórios '!$F$14))*('ANTP_2.1.b Veículos'!$D$60/12))*-12)</f>
        <v/>
      </c>
      <c r="Y19" s="772" t="str">
        <f>IF(Y$3&gt;'Resultados_Tarifa e TIR'!$B$12,"",((((SUM('Ent_Plano Renovação Frota'!L558:N560))*'Ref_A.VII. Peças e acessórios '!$F$9)+((SUM('Ent_Plano Renovação Frota'!L561:N562))*'Ref_A.VII. Peças e acessórios '!$F$10)+((SUM('Ent_Plano Renovação Frota'!L563:N564))*'Ref_A.VII. Peças e acessórios '!$F$11)+((SUM('Ent_Plano Renovação Frota'!L565:N566))*'Ref_A.VII. Peças e acessórios '!$F$12)+((SUM('Ent_Plano Renovação Frota'!L567:N568))*'Ref_A.VII. Peças e acessórios '!$F$13)+((SUM('Ent_Plano Renovação Frota'!L569:N578))*'Ref_A.VII. Peças e acessórios '!$F$14))*('ANTP_2.1.b Veículos'!$D$60/12))*-12)</f>
        <v/>
      </c>
      <c r="Z19" s="772" t="str">
        <f>IF(Z$3&gt;'Resultados_Tarifa e TIR'!$B$12,"",((((SUM('Ent_Plano Renovação Frota'!L583:N585))*'Ref_A.VII. Peças e acessórios '!$F$9)+((SUM('Ent_Plano Renovação Frota'!L586:N587))*'Ref_A.VII. Peças e acessórios '!$F$10)+((SUM('Ent_Plano Renovação Frota'!L588:N589))*'Ref_A.VII. Peças e acessórios '!$F$11)+((SUM('Ent_Plano Renovação Frota'!L590:N591))*'Ref_A.VII. Peças e acessórios '!$F$12)+((SUM('Ent_Plano Renovação Frota'!L592:N593))*'Ref_A.VII. Peças e acessórios '!$F$13)+((SUM('Ent_Plano Renovação Frota'!L594:N603))*'Ref_A.VII. Peças e acessórios '!$F$14))*('ANTP_2.1.b Veículos'!$D$60/12))*-12)</f>
        <v/>
      </c>
      <c r="AA19" s="772" t="str">
        <f>IF(AA$3&gt;'Resultados_Tarifa e TIR'!$B$12,"",((((SUM('Ent_Plano Renovação Frota'!L608:N610))*'Ref_A.VII. Peças e acessórios '!$F$9)+((SUM('Ent_Plano Renovação Frota'!L611:N612))*'Ref_A.VII. Peças e acessórios '!$F$10)+((SUM('Ent_Plano Renovação Frota'!L613:N614))*'Ref_A.VII. Peças e acessórios '!$F$11)+((SUM('Ent_Plano Renovação Frota'!L615:N616))*'Ref_A.VII. Peças e acessórios '!$F$12)+((SUM('Ent_Plano Renovação Frota'!L617:N618))*'Ref_A.VII. Peças e acessórios '!$F$13)+((SUM('Ent_Plano Renovação Frota'!L619:N628))*'Ref_A.VII. Peças e acessórios '!$F$14))*('ANTP_2.1.b Veículos'!$D$60/12))*-12)</f>
        <v/>
      </c>
      <c r="AB19" s="772"/>
      <c r="AC19" s="772"/>
    </row>
    <row r="20" spans="1:33" s="696" customFormat="1" x14ac:dyDescent="0.2">
      <c r="A20" s="771"/>
      <c r="B20" s="764" t="s">
        <v>205</v>
      </c>
      <c r="C20" s="772">
        <f>IF(C$3&gt;'Resultados_Tarifa e TIR'!$B$12,"",'Resultados_Composição CT'!$C$14*-12)</f>
        <v>-122628</v>
      </c>
      <c r="D20" s="772">
        <f>IF(D$3&gt;'Resultados_Tarifa e TIR'!$B$12,"",'Resultados_Composição CT'!$C$14*-12)</f>
        <v>-122628</v>
      </c>
      <c r="E20" s="772">
        <f>IF(E$3&gt;'Resultados_Tarifa e TIR'!$B$12,"",'Resultados_Composição CT'!$C$14*-12)</f>
        <v>-122628</v>
      </c>
      <c r="F20" s="772">
        <f>IF(F$3&gt;'Resultados_Tarifa e TIR'!$B$12,"",'Resultados_Composição CT'!$C$14*-12)</f>
        <v>-122628</v>
      </c>
      <c r="G20" s="772">
        <f>IF(G$3&gt;'Resultados_Tarifa e TIR'!$B$12,"",'Resultados_Composição CT'!$C$14*-12)</f>
        <v>-122628</v>
      </c>
      <c r="H20" s="772">
        <f>IF(H$3&gt;'Resultados_Tarifa e TIR'!$B$12,"",'Resultados_Composição CT'!$C$14*-12)</f>
        <v>-122628</v>
      </c>
      <c r="I20" s="772">
        <f>IF(I$3&gt;'Resultados_Tarifa e TIR'!$B$12,"",'Resultados_Composição CT'!$C$14*-12)</f>
        <v>-122628</v>
      </c>
      <c r="J20" s="772">
        <f>IF(J$3&gt;'Resultados_Tarifa e TIR'!$B$12,"",'Resultados_Composição CT'!$C$14*-12)</f>
        <v>-122628</v>
      </c>
      <c r="K20" s="772">
        <f>IF(K$3&gt;'Resultados_Tarifa e TIR'!$B$12,"",'Resultados_Composição CT'!$C$14*-12)</f>
        <v>-122628</v>
      </c>
      <c r="L20" s="772">
        <f>IF(L$3&gt;'Resultados_Tarifa e TIR'!$B$12,"",'Resultados_Composição CT'!$C$14*-12)</f>
        <v>-122628</v>
      </c>
      <c r="M20" s="772">
        <f>IF(M$3&gt;'Resultados_Tarifa e TIR'!$B$12,"",'Resultados_Composição CT'!$C$14*-12)</f>
        <v>-122628</v>
      </c>
      <c r="N20" s="772">
        <f>IF(N$3&gt;'Resultados_Tarifa e TIR'!$B$12,"",'Resultados_Composição CT'!$C$14*-12)</f>
        <v>-122628</v>
      </c>
      <c r="O20" s="772">
        <f>IF(O$3&gt;'Resultados_Tarifa e TIR'!$B$12,"",'Resultados_Composição CT'!$C$14*-12)</f>
        <v>-122628</v>
      </c>
      <c r="P20" s="772">
        <f>IF(P$3&gt;'Resultados_Tarifa e TIR'!$B$12,"",'Resultados_Composição CT'!$C$14*-12)</f>
        <v>-122628</v>
      </c>
      <c r="Q20" s="772">
        <f>IF(Q$3&gt;'Resultados_Tarifa e TIR'!$B$12,"",'Resultados_Composição CT'!$C$14*-12)</f>
        <v>-122628</v>
      </c>
      <c r="R20" s="772" t="str">
        <f>IF(R$3&gt;'Resultados_Tarifa e TIR'!$B$12,"",'Resultados_Composição CT'!$C$14*-12)</f>
        <v/>
      </c>
      <c r="S20" s="772" t="str">
        <f>IF(S$3&gt;'Resultados_Tarifa e TIR'!$B$12,"",'Resultados_Composição CT'!$C$14*-12)</f>
        <v/>
      </c>
      <c r="T20" s="772" t="str">
        <f>IF(T$3&gt;'Resultados_Tarifa e TIR'!$B$12,"",'Resultados_Composição CT'!$C$14*-12)</f>
        <v/>
      </c>
      <c r="U20" s="772" t="str">
        <f>IF(U$3&gt;'Resultados_Tarifa e TIR'!$B$12,"",'Resultados_Composição CT'!$C$14*-12)</f>
        <v/>
      </c>
      <c r="V20" s="772" t="str">
        <f>IF(V$3&gt;'Resultados_Tarifa e TIR'!$B$12,"",'Resultados_Composição CT'!$C$14*-12)</f>
        <v/>
      </c>
      <c r="W20" s="772" t="str">
        <f>IF(W$3&gt;'Resultados_Tarifa e TIR'!$B$12,"",'Resultados_Composição CT'!$C$14*-12)</f>
        <v/>
      </c>
      <c r="X20" s="772" t="str">
        <f>IF(X$3&gt;'Resultados_Tarifa e TIR'!$B$12,"",'Resultados_Composição CT'!$C$14*-12)</f>
        <v/>
      </c>
      <c r="Y20" s="772" t="str">
        <f>IF(Y$3&gt;'Resultados_Tarifa e TIR'!$B$12,"",'Resultados_Composição CT'!$C$14*-12)</f>
        <v/>
      </c>
      <c r="Z20" s="772" t="str">
        <f>IF(Z$3&gt;'Resultados_Tarifa e TIR'!$B$12,"",'Resultados_Composição CT'!$C$14*-12)</f>
        <v/>
      </c>
      <c r="AA20" s="772" t="str">
        <f>IF(AA$3&gt;'Resultados_Tarifa e TIR'!$B$12,"",'Resultados_Composição CT'!$C$14*-12)</f>
        <v/>
      </c>
      <c r="AB20" s="772"/>
      <c r="AC20" s="772"/>
    </row>
    <row r="21" spans="1:33" s="873" customFormat="1" x14ac:dyDescent="0.2">
      <c r="A21" s="871">
        <f t="shared" si="0"/>
        <v>-37004593.216352001</v>
      </c>
      <c r="B21" s="874" t="s">
        <v>184</v>
      </c>
      <c r="C21" s="872">
        <f>IF(C$3&gt;'Resultados_Tarifa e TIR'!$B$12,"",SUM(C15:C20))</f>
        <v>-2448145.1477568001</v>
      </c>
      <c r="D21" s="872">
        <f>IF(D$3&gt;'Resultados_Tarifa e TIR'!$B$12,"",SUM(D15:D20))</f>
        <v>-2448145.1477568001</v>
      </c>
      <c r="E21" s="872">
        <f>IF(E$3&gt;'Resultados_Tarifa e TIR'!$B$12,"",SUM(E15:E20))</f>
        <v>-2470441.1477568001</v>
      </c>
      <c r="F21" s="872">
        <f>IF(F$3&gt;'Resultados_Tarifa e TIR'!$B$12,"",SUM(F15:F20))</f>
        <v>-2470441.1477568001</v>
      </c>
      <c r="G21" s="872">
        <f>IF(G$3&gt;'Resultados_Tarifa e TIR'!$B$12,"",SUM(G15:G20))</f>
        <v>-2477873.1477568001</v>
      </c>
      <c r="H21" s="872">
        <f>IF(H$3&gt;'Resultados_Tarifa e TIR'!$B$12,"",SUM(H15:H20))</f>
        <v>-2448145.1477568001</v>
      </c>
      <c r="I21" s="872">
        <f>IF(I$3&gt;'Resultados_Tarifa e TIR'!$B$12,"",SUM(I15:I20))</f>
        <v>-2492737.1477568001</v>
      </c>
      <c r="J21" s="872">
        <f>IF(J$3&gt;'Resultados_Tarifa e TIR'!$B$12,"",SUM(J15:J20))</f>
        <v>-2440713.1477568001</v>
      </c>
      <c r="K21" s="872">
        <f>IF(K$3&gt;'Resultados_Tarifa e TIR'!$B$12,"",SUM(K15:K20))</f>
        <v>-2463009.1477568001</v>
      </c>
      <c r="L21" s="872">
        <f>IF(L$3&gt;'Resultados_Tarifa e TIR'!$B$12,"",SUM(L15:L20))</f>
        <v>-2485305.1477568001</v>
      </c>
      <c r="M21" s="872">
        <f>IF(M$3&gt;'Resultados_Tarifa e TIR'!$B$12,"",SUM(M15:M20))</f>
        <v>-2470441.1477568001</v>
      </c>
      <c r="N21" s="872">
        <f>IF(N$3&gt;'Resultados_Tarifa e TIR'!$B$12,"",SUM(N15:N20))</f>
        <v>-2470441.1477568001</v>
      </c>
      <c r="O21" s="872">
        <f>IF(O$3&gt;'Resultados_Tarifa e TIR'!$B$12,"",SUM(O15:O20))</f>
        <v>-2507601.1477568001</v>
      </c>
      <c r="P21" s="872">
        <f>IF(P$3&gt;'Resultados_Tarifa e TIR'!$B$12,"",SUM(P15:P20))</f>
        <v>-2425849.1477568001</v>
      </c>
      <c r="Q21" s="872">
        <f>IF(Q$3&gt;'Resultados_Tarifa e TIR'!$B$12,"",SUM(Q15:Q20))</f>
        <v>-2485305.1477568001</v>
      </c>
      <c r="R21" s="872" t="str">
        <f>IF(R$3&gt;'Resultados_Tarifa e TIR'!$B$12,"",SUM(R15:R20))</f>
        <v/>
      </c>
      <c r="S21" s="872" t="str">
        <f>IF(S$3&gt;'Resultados_Tarifa e TIR'!$B$12,"",SUM(S15:S20))</f>
        <v/>
      </c>
      <c r="T21" s="872" t="str">
        <f>IF(T$3&gt;'Resultados_Tarifa e TIR'!$B$12,"",SUM(T15:T20))</f>
        <v/>
      </c>
      <c r="U21" s="872" t="str">
        <f>IF(U$3&gt;'Resultados_Tarifa e TIR'!$B$12,"",SUM(U15:U20))</f>
        <v/>
      </c>
      <c r="V21" s="872" t="str">
        <f>IF(V$3&gt;'Resultados_Tarifa e TIR'!$B$12,"",SUM(V15:V20))</f>
        <v/>
      </c>
      <c r="W21" s="872" t="str">
        <f>IF(W$3&gt;'Resultados_Tarifa e TIR'!$B$12,"",SUM(W15:W20))</f>
        <v/>
      </c>
      <c r="X21" s="872" t="str">
        <f>IF(X$3&gt;'Resultados_Tarifa e TIR'!$B$12,"",SUM(X15:X20))</f>
        <v/>
      </c>
      <c r="Y21" s="872" t="str">
        <f>IF(Y$3&gt;'Resultados_Tarifa e TIR'!$B$12,"",SUM(Y15:Y20))</f>
        <v/>
      </c>
      <c r="Z21" s="872" t="str">
        <f>IF(Z$3&gt;'Resultados_Tarifa e TIR'!$B$12,"",SUM(Z15:Z20))</f>
        <v/>
      </c>
      <c r="AA21" s="872" t="str">
        <f>IF(AA$3&gt;'Resultados_Tarifa e TIR'!$B$12,"",SUM(AA15:AA20))</f>
        <v/>
      </c>
      <c r="AB21" s="872"/>
      <c r="AC21" s="872"/>
      <c r="AD21" s="872"/>
    </row>
    <row r="22" spans="1:33" s="877" customFormat="1" x14ac:dyDescent="0.2">
      <c r="A22" s="876"/>
      <c r="B22" s="764" t="s">
        <v>1383</v>
      </c>
      <c r="C22" s="772">
        <f>IF(C$3&gt;'Resultados_Tarifa e TIR'!$B$12,"",'Resultados_Composição CT'!$C$18*-12)</f>
        <v>-894399.0692210641</v>
      </c>
      <c r="D22" s="772">
        <f>IF(D$3&gt;'Resultados_Tarifa e TIR'!$B$12,"",'Resultados_Composição CT'!$C$18*-12)</f>
        <v>-894399.0692210641</v>
      </c>
      <c r="E22" s="772">
        <f>IF(E$3&gt;'Resultados_Tarifa e TIR'!$B$12,"",'Resultados_Composição CT'!$C$18*-12)</f>
        <v>-894399.0692210641</v>
      </c>
      <c r="F22" s="772">
        <f>IF(F$3&gt;'Resultados_Tarifa e TIR'!$B$12,"",'Resultados_Composição CT'!$C$18*-12)</f>
        <v>-894399.0692210641</v>
      </c>
      <c r="G22" s="772">
        <f>IF(G$3&gt;'Resultados_Tarifa e TIR'!$B$12,"",'Resultados_Composição CT'!$C$18*-12)</f>
        <v>-894399.0692210641</v>
      </c>
      <c r="H22" s="772">
        <f>IF(H$3&gt;'Resultados_Tarifa e TIR'!$B$12,"",'Resultados_Composição CT'!$C$18*-12)</f>
        <v>-894399.0692210641</v>
      </c>
      <c r="I22" s="772">
        <f>IF(I$3&gt;'Resultados_Tarifa e TIR'!$B$12,"",'Resultados_Composição CT'!$C$18*-12)</f>
        <v>-894399.0692210641</v>
      </c>
      <c r="J22" s="772">
        <f>IF(J$3&gt;'Resultados_Tarifa e TIR'!$B$12,"",'Resultados_Composição CT'!$C$18*-12)</f>
        <v>-894399.0692210641</v>
      </c>
      <c r="K22" s="772">
        <f>IF(K$3&gt;'Resultados_Tarifa e TIR'!$B$12,"",'Resultados_Composição CT'!$C$18*-12)</f>
        <v>-894399.0692210641</v>
      </c>
      <c r="L22" s="772">
        <f>IF(L$3&gt;'Resultados_Tarifa e TIR'!$B$12,"",'Resultados_Composição CT'!$C$18*-12)</f>
        <v>-894399.0692210641</v>
      </c>
      <c r="M22" s="772">
        <f>IF(M$3&gt;'Resultados_Tarifa e TIR'!$B$12,"",'Resultados_Composição CT'!$C$18*-12)</f>
        <v>-894399.0692210641</v>
      </c>
      <c r="N22" s="772">
        <f>IF(N$3&gt;'Resultados_Tarifa e TIR'!$B$12,"",'Resultados_Composição CT'!$C$18*-12)</f>
        <v>-894399.0692210641</v>
      </c>
      <c r="O22" s="772">
        <f>IF(O$3&gt;'Resultados_Tarifa e TIR'!$B$12,"",'Resultados_Composição CT'!$C$18*-12)</f>
        <v>-894399.0692210641</v>
      </c>
      <c r="P22" s="772">
        <f>IF(P$3&gt;'Resultados_Tarifa e TIR'!$B$12,"",'Resultados_Composição CT'!$C$18*-12)</f>
        <v>-894399.0692210641</v>
      </c>
      <c r="Q22" s="772">
        <f>IF(Q$3&gt;'Resultados_Tarifa e TIR'!$B$12,"",'Resultados_Composição CT'!$C$18*-12)</f>
        <v>-894399.0692210641</v>
      </c>
      <c r="R22" s="772" t="str">
        <f>IF(R$3&gt;'Resultados_Tarifa e TIR'!$B$12,"",'Resultados_Composição CT'!$C$18*-12)</f>
        <v/>
      </c>
      <c r="S22" s="772" t="str">
        <f>IF(S$3&gt;'Resultados_Tarifa e TIR'!$B$12,"",'Resultados_Composição CT'!$C$18*-12)</f>
        <v/>
      </c>
      <c r="T22" s="772" t="str">
        <f>IF(T$3&gt;'Resultados_Tarifa e TIR'!$B$12,"",'Resultados_Composição CT'!$C$18*-12)</f>
        <v/>
      </c>
      <c r="U22" s="772" t="str">
        <f>IF(U$3&gt;'Resultados_Tarifa e TIR'!$B$12,"",'Resultados_Composição CT'!$C$18*-12)</f>
        <v/>
      </c>
      <c r="V22" s="772" t="str">
        <f>IF(V$3&gt;'Resultados_Tarifa e TIR'!$B$12,"",'Resultados_Composição CT'!$C$18*-12)</f>
        <v/>
      </c>
      <c r="W22" s="772" t="str">
        <f>IF(W$3&gt;'Resultados_Tarifa e TIR'!$B$12,"",'Resultados_Composição CT'!$C$18*-12)</f>
        <v/>
      </c>
      <c r="X22" s="772" t="str">
        <f>IF(X$3&gt;'Resultados_Tarifa e TIR'!$B$12,"",'Resultados_Composição CT'!$C$18*-12)</f>
        <v/>
      </c>
      <c r="Y22" s="772" t="str">
        <f>IF(Y$3&gt;'Resultados_Tarifa e TIR'!$B$12,"",'Resultados_Composição CT'!$C$18*-12)</f>
        <v/>
      </c>
      <c r="Z22" s="772" t="str">
        <f>IF(Z$3&gt;'Resultados_Tarifa e TIR'!$B$12,"",'Resultados_Composição CT'!$C$18*-12)</f>
        <v/>
      </c>
      <c r="AA22" s="772" t="str">
        <f>IF(AA$3&gt;'Resultados_Tarifa e TIR'!$B$12,"",'Resultados_Composição CT'!$C$18*-12)</f>
        <v/>
      </c>
      <c r="AB22" s="772"/>
    </row>
    <row r="23" spans="1:33" s="877" customFormat="1" x14ac:dyDescent="0.2">
      <c r="A23" s="876"/>
      <c r="B23" s="764" t="s">
        <v>1384</v>
      </c>
      <c r="C23" s="772">
        <f>IF(C$3&gt;'Resultados_Tarifa e TIR'!$B$12,"",'Resultados_Composição CT'!$C$19*-12)</f>
        <v>-482975.49737937457</v>
      </c>
      <c r="D23" s="772">
        <f>IF(D$3&gt;'Resultados_Tarifa e TIR'!$B$12,"",'Resultados_Composição CT'!$C$19*-12)</f>
        <v>-482975.49737937457</v>
      </c>
      <c r="E23" s="772">
        <f>IF(E$3&gt;'Resultados_Tarifa e TIR'!$B$12,"",'Resultados_Composição CT'!$C$19*-12)</f>
        <v>-482975.49737937457</v>
      </c>
      <c r="F23" s="772">
        <f>IF(F$3&gt;'Resultados_Tarifa e TIR'!$B$12,"",'Resultados_Composição CT'!$C$19*-12)</f>
        <v>-482975.49737937457</v>
      </c>
      <c r="G23" s="772">
        <f>IF(G$3&gt;'Resultados_Tarifa e TIR'!$B$12,"",'Resultados_Composição CT'!$C$19*-12)</f>
        <v>-482975.49737937457</v>
      </c>
      <c r="H23" s="772">
        <f>IF(H$3&gt;'Resultados_Tarifa e TIR'!$B$12,"",'Resultados_Composição CT'!$C$19*-12)</f>
        <v>-482975.49737937457</v>
      </c>
      <c r="I23" s="772">
        <f>IF(I$3&gt;'Resultados_Tarifa e TIR'!$B$12,"",'Resultados_Composição CT'!$C$19*-12)</f>
        <v>-482975.49737937457</v>
      </c>
      <c r="J23" s="772">
        <f>IF(J$3&gt;'Resultados_Tarifa e TIR'!$B$12,"",'Resultados_Composição CT'!$C$19*-12)</f>
        <v>-482975.49737937457</v>
      </c>
      <c r="K23" s="772">
        <f>IF(K$3&gt;'Resultados_Tarifa e TIR'!$B$12,"",'Resultados_Composição CT'!$C$19*-12)</f>
        <v>-482975.49737937457</v>
      </c>
      <c r="L23" s="772">
        <f>IF(L$3&gt;'Resultados_Tarifa e TIR'!$B$12,"",'Resultados_Composição CT'!$C$19*-12)</f>
        <v>-482975.49737937457</v>
      </c>
      <c r="M23" s="772">
        <f>IF(M$3&gt;'Resultados_Tarifa e TIR'!$B$12,"",'Resultados_Composição CT'!$C$19*-12)</f>
        <v>-482975.49737937457</v>
      </c>
      <c r="N23" s="772">
        <f>IF(N$3&gt;'Resultados_Tarifa e TIR'!$B$12,"",'Resultados_Composição CT'!$C$19*-12)</f>
        <v>-482975.49737937457</v>
      </c>
      <c r="O23" s="772">
        <f>IF(O$3&gt;'Resultados_Tarifa e TIR'!$B$12,"",'Resultados_Composição CT'!$C$19*-12)</f>
        <v>-482975.49737937457</v>
      </c>
      <c r="P23" s="772">
        <f>IF(P$3&gt;'Resultados_Tarifa e TIR'!$B$12,"",'Resultados_Composição CT'!$C$19*-12)</f>
        <v>-482975.49737937457</v>
      </c>
      <c r="Q23" s="772">
        <f>IF(Q$3&gt;'Resultados_Tarifa e TIR'!$B$12,"",'Resultados_Composição CT'!$C$19*-12)</f>
        <v>-482975.49737937457</v>
      </c>
      <c r="R23" s="772" t="str">
        <f>IF(R$3&gt;'Resultados_Tarifa e TIR'!$B$12,"",'Resultados_Composição CT'!$C$19*-12)</f>
        <v/>
      </c>
      <c r="S23" s="772" t="str">
        <f>IF(S$3&gt;'Resultados_Tarifa e TIR'!$B$12,"",'Resultados_Composição CT'!$C$19*-12)</f>
        <v/>
      </c>
      <c r="T23" s="772" t="str">
        <f>IF(T$3&gt;'Resultados_Tarifa e TIR'!$B$12,"",'Resultados_Composição CT'!$C$19*-12)</f>
        <v/>
      </c>
      <c r="U23" s="772" t="str">
        <f>IF(U$3&gt;'Resultados_Tarifa e TIR'!$B$12,"",'Resultados_Composição CT'!$C$19*-12)</f>
        <v/>
      </c>
      <c r="V23" s="772" t="str">
        <f>IF(V$3&gt;'Resultados_Tarifa e TIR'!$B$12,"",'Resultados_Composição CT'!$C$19*-12)</f>
        <v/>
      </c>
      <c r="W23" s="772" t="str">
        <f>IF(W$3&gt;'Resultados_Tarifa e TIR'!$B$12,"",'Resultados_Composição CT'!$C$19*-12)</f>
        <v/>
      </c>
      <c r="X23" s="772" t="str">
        <f>IF(X$3&gt;'Resultados_Tarifa e TIR'!$B$12,"",'Resultados_Composição CT'!$C$19*-12)</f>
        <v/>
      </c>
      <c r="Y23" s="772" t="str">
        <f>IF(Y$3&gt;'Resultados_Tarifa e TIR'!$B$12,"",'Resultados_Composição CT'!$C$19*-12)</f>
        <v/>
      </c>
      <c r="Z23" s="772" t="str">
        <f>IF(Z$3&gt;'Resultados_Tarifa e TIR'!$B$12,"",'Resultados_Composição CT'!$C$19*-12)</f>
        <v/>
      </c>
      <c r="AA23" s="772" t="str">
        <f>IF(AA$3&gt;'Resultados_Tarifa e TIR'!$B$12,"",'Resultados_Composição CT'!$C$19*-12)</f>
        <v/>
      </c>
      <c r="AB23" s="772"/>
    </row>
    <row r="24" spans="1:33" s="873" customFormat="1" x14ac:dyDescent="0.2">
      <c r="A24" s="871">
        <f t="shared" si="0"/>
        <v>-20660618.499006577</v>
      </c>
      <c r="B24" s="874" t="s">
        <v>1278</v>
      </c>
      <c r="C24" s="872">
        <f>IF(C$3&gt;'Resultados_Tarifa e TIR'!$B$12,"",SUM(C22:C23))</f>
        <v>-1377374.5666004387</v>
      </c>
      <c r="D24" s="872">
        <f>IF(D$3&gt;'Resultados_Tarifa e TIR'!$B$12,"",SUM(D22:D23))</f>
        <v>-1377374.5666004387</v>
      </c>
      <c r="E24" s="872">
        <f>IF(E$3&gt;'Resultados_Tarifa e TIR'!$B$12,"",SUM(E22:E23))</f>
        <v>-1377374.5666004387</v>
      </c>
      <c r="F24" s="872">
        <f>IF(F$3&gt;'Resultados_Tarifa e TIR'!$B$12,"",SUM(F22:F23))</f>
        <v>-1377374.5666004387</v>
      </c>
      <c r="G24" s="872">
        <f>IF(G$3&gt;'Resultados_Tarifa e TIR'!$B$12,"",SUM(G22:G23))</f>
        <v>-1377374.5666004387</v>
      </c>
      <c r="H24" s="872">
        <f>IF(H$3&gt;'Resultados_Tarifa e TIR'!$B$12,"",SUM(H22:H23))</f>
        <v>-1377374.5666004387</v>
      </c>
      <c r="I24" s="872">
        <f>IF(I$3&gt;'Resultados_Tarifa e TIR'!$B$12,"",SUM(I22:I23))</f>
        <v>-1377374.5666004387</v>
      </c>
      <c r="J24" s="872">
        <f>IF(J$3&gt;'Resultados_Tarifa e TIR'!$B$12,"",SUM(J22:J23))</f>
        <v>-1377374.5666004387</v>
      </c>
      <c r="K24" s="872">
        <f>IF(K$3&gt;'Resultados_Tarifa e TIR'!$B$12,"",SUM(K22:K23))</f>
        <v>-1377374.5666004387</v>
      </c>
      <c r="L24" s="872">
        <f>IF(L$3&gt;'Resultados_Tarifa e TIR'!$B$12,"",SUM(L22:L23))</f>
        <v>-1377374.5666004387</v>
      </c>
      <c r="M24" s="872">
        <f>IF(M$3&gt;'Resultados_Tarifa e TIR'!$B$12,"",SUM(M22:M23))</f>
        <v>-1377374.5666004387</v>
      </c>
      <c r="N24" s="872">
        <f>IF(N$3&gt;'Resultados_Tarifa e TIR'!$B$12,"",SUM(N22:N23))</f>
        <v>-1377374.5666004387</v>
      </c>
      <c r="O24" s="872">
        <f>IF(O$3&gt;'Resultados_Tarifa e TIR'!$B$12,"",SUM(O22:O23))</f>
        <v>-1377374.5666004387</v>
      </c>
      <c r="P24" s="872">
        <f>IF(P$3&gt;'Resultados_Tarifa e TIR'!$B$12,"",SUM(P22:P23))</f>
        <v>-1377374.5666004387</v>
      </c>
      <c r="Q24" s="872">
        <f>IF(Q$3&gt;'Resultados_Tarifa e TIR'!$B$12,"",SUM(Q22:Q23))</f>
        <v>-1377374.5666004387</v>
      </c>
      <c r="R24" s="872" t="str">
        <f>IF(R$3&gt;'Resultados_Tarifa e TIR'!$B$12,"",SUM(R22:R23))</f>
        <v/>
      </c>
      <c r="S24" s="872" t="str">
        <f>IF(S$3&gt;'Resultados_Tarifa e TIR'!$B$12,"",SUM(S22:S23))</f>
        <v/>
      </c>
      <c r="T24" s="872" t="str">
        <f>IF(T$3&gt;'Resultados_Tarifa e TIR'!$B$12,"",SUM(T22:T23))</f>
        <v/>
      </c>
      <c r="U24" s="872" t="str">
        <f>IF(U$3&gt;'Resultados_Tarifa e TIR'!$B$12,"",SUM(U22:U23))</f>
        <v/>
      </c>
      <c r="V24" s="872" t="str">
        <f>IF(V$3&gt;'Resultados_Tarifa e TIR'!$B$12,"",SUM(V22:V23))</f>
        <v/>
      </c>
      <c r="W24" s="872" t="str">
        <f>IF(W$3&gt;'Resultados_Tarifa e TIR'!$B$12,"",SUM(W22:W23))</f>
        <v/>
      </c>
      <c r="X24" s="872" t="str">
        <f>IF(X$3&gt;'Resultados_Tarifa e TIR'!$B$12,"",SUM(X22:X23))</f>
        <v/>
      </c>
      <c r="Y24" s="872" t="str">
        <f>IF(Y$3&gt;'Resultados_Tarifa e TIR'!$B$12,"",SUM(Y22:Y23))</f>
        <v/>
      </c>
      <c r="Z24" s="872" t="str">
        <f>IF(Z$3&gt;'Resultados_Tarifa e TIR'!$B$12,"",SUM(Z22:Z23))</f>
        <v/>
      </c>
      <c r="AA24" s="872" t="str">
        <f>IF(AA$3&gt;'Resultados_Tarifa e TIR'!$B$12,"",SUM(AA22:AA23))</f>
        <v/>
      </c>
      <c r="AB24" s="872"/>
    </row>
    <row r="25" spans="1:33" s="877" customFormat="1" x14ac:dyDescent="0.2">
      <c r="A25" s="876"/>
      <c r="B25" s="764" t="s">
        <v>1385</v>
      </c>
      <c r="C25" s="772">
        <f>IF(C$3&gt;'Resultados_Tarifa e TIR'!$B$12,"",'Resultados_Composição CT'!$C$45*-12)</f>
        <v>-30333.599999999999</v>
      </c>
      <c r="D25" s="772">
        <f>IF(D$3&gt;'Resultados_Tarifa e TIR'!$B$12,"",'Resultados_Composição CT'!$C$45*-12)</f>
        <v>-30333.599999999999</v>
      </c>
      <c r="E25" s="772">
        <f>IF(E$3&gt;'Resultados_Tarifa e TIR'!$B$12,"",'Resultados_Composição CT'!$C$45*-12)</f>
        <v>-30333.599999999999</v>
      </c>
      <c r="F25" s="772">
        <f>IF(F$3&gt;'Resultados_Tarifa e TIR'!$B$12,"",'Resultados_Composição CT'!$C$45*-12)</f>
        <v>-30333.599999999999</v>
      </c>
      <c r="G25" s="772">
        <f>IF(G$3&gt;'Resultados_Tarifa e TIR'!$B$12,"",'Resultados_Composição CT'!$C$45*-12)</f>
        <v>-30333.599999999999</v>
      </c>
      <c r="H25" s="772">
        <f>IF(H$3&gt;'Resultados_Tarifa e TIR'!$B$12,"",'Resultados_Composição CT'!$C$45*-12)</f>
        <v>-30333.599999999999</v>
      </c>
      <c r="I25" s="772">
        <f>IF(I$3&gt;'Resultados_Tarifa e TIR'!$B$12,"",'Resultados_Composição CT'!$C$45*-12)</f>
        <v>-30333.599999999999</v>
      </c>
      <c r="J25" s="772">
        <f>IF(J$3&gt;'Resultados_Tarifa e TIR'!$B$12,"",'Resultados_Composição CT'!$C$45*-12)</f>
        <v>-30333.599999999999</v>
      </c>
      <c r="K25" s="772">
        <f>IF(K$3&gt;'Resultados_Tarifa e TIR'!$B$12,"",'Resultados_Composição CT'!$C$45*-12)</f>
        <v>-30333.599999999999</v>
      </c>
      <c r="L25" s="772">
        <f>IF(L$3&gt;'Resultados_Tarifa e TIR'!$B$12,"",'Resultados_Composição CT'!$C$45*-12)</f>
        <v>-30333.599999999999</v>
      </c>
      <c r="M25" s="772">
        <f>IF(M$3&gt;'Resultados_Tarifa e TIR'!$B$12,"",'Resultados_Composição CT'!$C$45*-12)</f>
        <v>-30333.599999999999</v>
      </c>
      <c r="N25" s="772">
        <f>IF(N$3&gt;'Resultados_Tarifa e TIR'!$B$12,"",'Resultados_Composição CT'!$C$45*-12)</f>
        <v>-30333.599999999999</v>
      </c>
      <c r="O25" s="772">
        <f>IF(O$3&gt;'Resultados_Tarifa e TIR'!$B$12,"",'Resultados_Composição CT'!$C$45*-12)</f>
        <v>-30333.599999999999</v>
      </c>
      <c r="P25" s="772">
        <f>IF(P$3&gt;'Resultados_Tarifa e TIR'!$B$12,"",'Resultados_Composição CT'!$C$45*-12)</f>
        <v>-30333.599999999999</v>
      </c>
      <c r="Q25" s="772">
        <f>IF(Q$3&gt;'Resultados_Tarifa e TIR'!$B$12,"",'Resultados_Composição CT'!$C$45*-12)</f>
        <v>-30333.599999999999</v>
      </c>
      <c r="R25" s="772" t="str">
        <f>IF(R$3&gt;'Resultados_Tarifa e TIR'!$B$12,"",'Resultados_Composição CT'!$C$45*-12)</f>
        <v/>
      </c>
      <c r="S25" s="772" t="str">
        <f>IF(S$3&gt;'Resultados_Tarifa e TIR'!$B$12,"",'Resultados_Composição CT'!$C$45*-12)</f>
        <v/>
      </c>
      <c r="T25" s="772" t="str">
        <f>IF(T$3&gt;'Resultados_Tarifa e TIR'!$B$12,"",'Resultados_Composição CT'!$C$45*-12)</f>
        <v/>
      </c>
      <c r="U25" s="772" t="str">
        <f>IF(U$3&gt;'Resultados_Tarifa e TIR'!$B$12,"",'Resultados_Composição CT'!$C$45*-12)</f>
        <v/>
      </c>
      <c r="V25" s="772" t="str">
        <f>IF(V$3&gt;'Resultados_Tarifa e TIR'!$B$12,"",'Resultados_Composição CT'!$C$45*-12)</f>
        <v/>
      </c>
      <c r="W25" s="772" t="str">
        <f>IF(W$3&gt;'Resultados_Tarifa e TIR'!$B$12,"",'Resultados_Composição CT'!$C$45*-12)</f>
        <v/>
      </c>
      <c r="X25" s="772" t="str">
        <f>IF(X$3&gt;'Resultados_Tarifa e TIR'!$B$12,"",'Resultados_Composição CT'!$C$45*-12)</f>
        <v/>
      </c>
      <c r="Y25" s="772" t="str">
        <f>IF(Y$3&gt;'Resultados_Tarifa e TIR'!$B$12,"",'Resultados_Composição CT'!$C$45*-12)</f>
        <v/>
      </c>
      <c r="Z25" s="772" t="str">
        <f>IF(Z$3&gt;'Resultados_Tarifa e TIR'!$B$12,"",'Resultados_Composição CT'!$C$45*-12)</f>
        <v/>
      </c>
      <c r="AA25" s="772" t="str">
        <f>IF(AA$3&gt;'Resultados_Tarifa e TIR'!$B$12,"",'Resultados_Composição CT'!$C$45*-12)</f>
        <v/>
      </c>
      <c r="AB25" s="772"/>
    </row>
    <row r="26" spans="1:33" s="877" customFormat="1" x14ac:dyDescent="0.2">
      <c r="A26" s="876"/>
      <c r="B26" s="764" t="s">
        <v>1386</v>
      </c>
      <c r="C26" s="772">
        <f>IF(C$3&gt;'Resultados_Tarifa e TIR'!$B$12,"",'Resultados_Composição CT'!$C$46*-12)</f>
        <v>0</v>
      </c>
      <c r="D26" s="772">
        <f>IF(D$3&gt;'Resultados_Tarifa e TIR'!$B$12,"",'Resultados_Composição CT'!$C$46*-12)</f>
        <v>0</v>
      </c>
      <c r="E26" s="772">
        <f>IF(E$3&gt;'Resultados_Tarifa e TIR'!$B$12,"",'Resultados_Composição CT'!$C$46*-12)</f>
        <v>0</v>
      </c>
      <c r="F26" s="772">
        <f>IF(F$3&gt;'Resultados_Tarifa e TIR'!$B$12,"",'Resultados_Composição CT'!$C$46*-12)</f>
        <v>0</v>
      </c>
      <c r="G26" s="772">
        <f>IF(G$3&gt;'Resultados_Tarifa e TIR'!$B$12,"",'Resultados_Composição CT'!$C$46*-12)</f>
        <v>0</v>
      </c>
      <c r="H26" s="772">
        <f>IF(H$3&gt;'Resultados_Tarifa e TIR'!$B$12,"",'Resultados_Composição CT'!$C$46*-12)</f>
        <v>0</v>
      </c>
      <c r="I26" s="772">
        <f>IF(I$3&gt;'Resultados_Tarifa e TIR'!$B$12,"",'Resultados_Composição CT'!$C$46*-12)</f>
        <v>0</v>
      </c>
      <c r="J26" s="772">
        <f>IF(J$3&gt;'Resultados_Tarifa e TIR'!$B$12,"",'Resultados_Composição CT'!$C$46*-12)</f>
        <v>0</v>
      </c>
      <c r="K26" s="772">
        <f>IF(K$3&gt;'Resultados_Tarifa e TIR'!$B$12,"",'Resultados_Composição CT'!$C$46*-12)</f>
        <v>0</v>
      </c>
      <c r="L26" s="772">
        <f>IF(L$3&gt;'Resultados_Tarifa e TIR'!$B$12,"",'Resultados_Composição CT'!$C$46*-12)</f>
        <v>0</v>
      </c>
      <c r="M26" s="772">
        <f>IF(M$3&gt;'Resultados_Tarifa e TIR'!$B$12,"",'Resultados_Composição CT'!$C$46*-12)</f>
        <v>0</v>
      </c>
      <c r="N26" s="772">
        <f>IF(N$3&gt;'Resultados_Tarifa e TIR'!$B$12,"",'Resultados_Composição CT'!$C$46*-12)</f>
        <v>0</v>
      </c>
      <c r="O26" s="772">
        <f>IF(O$3&gt;'Resultados_Tarifa e TIR'!$B$12,"",'Resultados_Composição CT'!$C$46*-12)</f>
        <v>0</v>
      </c>
      <c r="P26" s="772">
        <f>IF(P$3&gt;'Resultados_Tarifa e TIR'!$B$12,"",'Resultados_Composição CT'!$C$46*-12)</f>
        <v>0</v>
      </c>
      <c r="Q26" s="772">
        <f>IF(Q$3&gt;'Resultados_Tarifa e TIR'!$B$12,"",'Resultados_Composição CT'!$C$46*-12)</f>
        <v>0</v>
      </c>
      <c r="R26" s="772" t="str">
        <f>IF(R$3&gt;'Resultados_Tarifa e TIR'!$B$12,"",'Resultados_Composição CT'!$C$46*-12)</f>
        <v/>
      </c>
      <c r="S26" s="772" t="str">
        <f>IF(S$3&gt;'Resultados_Tarifa e TIR'!$B$12,"",'Resultados_Composição CT'!$C$46*-12)</f>
        <v/>
      </c>
      <c r="T26" s="772" t="str">
        <f>IF(T$3&gt;'Resultados_Tarifa e TIR'!$B$12,"",'Resultados_Composição CT'!$C$46*-12)</f>
        <v/>
      </c>
      <c r="U26" s="772" t="str">
        <f>IF(U$3&gt;'Resultados_Tarifa e TIR'!$B$12,"",'Resultados_Composição CT'!$C$46*-12)</f>
        <v/>
      </c>
      <c r="V26" s="772" t="str">
        <f>IF(V$3&gt;'Resultados_Tarifa e TIR'!$B$12,"",'Resultados_Composição CT'!$C$46*-12)</f>
        <v/>
      </c>
      <c r="W26" s="772" t="str">
        <f>IF(W$3&gt;'Resultados_Tarifa e TIR'!$B$12,"",'Resultados_Composição CT'!$C$46*-12)</f>
        <v/>
      </c>
      <c r="X26" s="772" t="str">
        <f>IF(X$3&gt;'Resultados_Tarifa e TIR'!$B$12,"",'Resultados_Composição CT'!$C$46*-12)</f>
        <v/>
      </c>
      <c r="Y26" s="772" t="str">
        <f>IF(Y$3&gt;'Resultados_Tarifa e TIR'!$B$12,"",'Resultados_Composição CT'!$C$46*-12)</f>
        <v/>
      </c>
      <c r="Z26" s="772" t="str">
        <f>IF(Z$3&gt;'Resultados_Tarifa e TIR'!$B$12,"",'Resultados_Composição CT'!$C$46*-12)</f>
        <v/>
      </c>
      <c r="AA26" s="772" t="str">
        <f>IF(AA$3&gt;'Resultados_Tarifa e TIR'!$B$12,"",'Resultados_Composição CT'!$C$46*-12)</f>
        <v/>
      </c>
      <c r="AB26" s="772"/>
    </row>
    <row r="27" spans="1:33" s="877" customFormat="1" x14ac:dyDescent="0.2">
      <c r="A27" s="876"/>
      <c r="B27" s="764" t="s">
        <v>1387</v>
      </c>
      <c r="C27" s="772">
        <f>IF(C$3&gt;'Resultados_Tarifa e TIR'!$B$12,"",'Resultados_Composição CT'!$C$47*-12)</f>
        <v>-34800</v>
      </c>
      <c r="D27" s="772">
        <f>IF(D$3&gt;'Resultados_Tarifa e TIR'!$B$12,"",'Resultados_Composição CT'!$C$47*-12)</f>
        <v>-34800</v>
      </c>
      <c r="E27" s="772">
        <f>IF(E$3&gt;'Resultados_Tarifa e TIR'!$B$12,"",'Resultados_Composição CT'!$C$47*-12)</f>
        <v>-34800</v>
      </c>
      <c r="F27" s="772">
        <f>IF(F$3&gt;'Resultados_Tarifa e TIR'!$B$12,"",'Resultados_Composição CT'!$C$47*-12)</f>
        <v>-34800</v>
      </c>
      <c r="G27" s="772">
        <f>IF(G$3&gt;'Resultados_Tarifa e TIR'!$B$12,"",'Resultados_Composição CT'!$C$47*-12)</f>
        <v>-34800</v>
      </c>
      <c r="H27" s="772">
        <f>IF(H$3&gt;'Resultados_Tarifa e TIR'!$B$12,"",'Resultados_Composição CT'!$C$47*-12)</f>
        <v>-34800</v>
      </c>
      <c r="I27" s="772">
        <f>IF(I$3&gt;'Resultados_Tarifa e TIR'!$B$12,"",'Resultados_Composição CT'!$C$47*-12)</f>
        <v>-34800</v>
      </c>
      <c r="J27" s="772">
        <f>IF(J$3&gt;'Resultados_Tarifa e TIR'!$B$12,"",'Resultados_Composição CT'!$C$47*-12)</f>
        <v>-34800</v>
      </c>
      <c r="K27" s="772">
        <f>IF(K$3&gt;'Resultados_Tarifa e TIR'!$B$12,"",'Resultados_Composição CT'!$C$47*-12)</f>
        <v>-34800</v>
      </c>
      <c r="L27" s="772">
        <f>IF(L$3&gt;'Resultados_Tarifa e TIR'!$B$12,"",'Resultados_Composição CT'!$C$47*-12)</f>
        <v>-34800</v>
      </c>
      <c r="M27" s="772">
        <f>IF(M$3&gt;'Resultados_Tarifa e TIR'!$B$12,"",'Resultados_Composição CT'!$C$47*-12)</f>
        <v>-34800</v>
      </c>
      <c r="N27" s="772">
        <f>IF(N$3&gt;'Resultados_Tarifa e TIR'!$B$12,"",'Resultados_Composição CT'!$C$47*-12)</f>
        <v>-34800</v>
      </c>
      <c r="O27" s="772">
        <f>IF(O$3&gt;'Resultados_Tarifa e TIR'!$B$12,"",'Resultados_Composição CT'!$C$47*-12)</f>
        <v>-34800</v>
      </c>
      <c r="P27" s="772">
        <f>IF(P$3&gt;'Resultados_Tarifa e TIR'!$B$12,"",'Resultados_Composição CT'!$C$47*-12)</f>
        <v>-34800</v>
      </c>
      <c r="Q27" s="772">
        <f>IF(Q$3&gt;'Resultados_Tarifa e TIR'!$B$12,"",'Resultados_Composição CT'!$C$47*-12)</f>
        <v>-34800</v>
      </c>
      <c r="R27" s="772" t="str">
        <f>IF(R$3&gt;'Resultados_Tarifa e TIR'!$B$12,"",'Resultados_Composição CT'!$C$47*-12)</f>
        <v/>
      </c>
      <c r="S27" s="772" t="str">
        <f>IF(S$3&gt;'Resultados_Tarifa e TIR'!$B$12,"",'Resultados_Composição CT'!$C$47*-12)</f>
        <v/>
      </c>
      <c r="T27" s="772" t="str">
        <f>IF(T$3&gt;'Resultados_Tarifa e TIR'!$B$12,"",'Resultados_Composição CT'!$C$47*-12)</f>
        <v/>
      </c>
      <c r="U27" s="772" t="str">
        <f>IF(U$3&gt;'Resultados_Tarifa e TIR'!$B$12,"",'Resultados_Composição CT'!$C$47*-12)</f>
        <v/>
      </c>
      <c r="V27" s="772" t="str">
        <f>IF(V$3&gt;'Resultados_Tarifa e TIR'!$B$12,"",'Resultados_Composição CT'!$C$47*-12)</f>
        <v/>
      </c>
      <c r="W27" s="772" t="str">
        <f>IF(W$3&gt;'Resultados_Tarifa e TIR'!$B$12,"",'Resultados_Composição CT'!$C$47*-12)</f>
        <v/>
      </c>
      <c r="X27" s="772" t="str">
        <f>IF(X$3&gt;'Resultados_Tarifa e TIR'!$B$12,"",'Resultados_Composição CT'!$C$47*-12)</f>
        <v/>
      </c>
      <c r="Y27" s="772" t="str">
        <f>IF(Y$3&gt;'Resultados_Tarifa e TIR'!$B$12,"",'Resultados_Composição CT'!$C$47*-12)</f>
        <v/>
      </c>
      <c r="Z27" s="772" t="str">
        <f>IF(Z$3&gt;'Resultados_Tarifa e TIR'!$B$12,"",'Resultados_Composição CT'!$C$47*-12)</f>
        <v/>
      </c>
      <c r="AA27" s="772" t="str">
        <f>IF(AA$3&gt;'Resultados_Tarifa e TIR'!$B$12,"",'Resultados_Composição CT'!$C$47*-12)</f>
        <v/>
      </c>
      <c r="AB27" s="772"/>
    </row>
    <row r="28" spans="1:33" s="873" customFormat="1" x14ac:dyDescent="0.2">
      <c r="A28" s="871">
        <f t="shared" si="0"/>
        <v>-977003.99999999977</v>
      </c>
      <c r="B28" s="874" t="s">
        <v>1369</v>
      </c>
      <c r="C28" s="872">
        <f>IF(C$3&gt;'Resultados_Tarifa e TIR'!$B$12,"",SUM(C25:C27))</f>
        <v>-65133.599999999999</v>
      </c>
      <c r="D28" s="872">
        <f>IF(D$3&gt;'Resultados_Tarifa e TIR'!$B$12,"",SUM(D25:D27))</f>
        <v>-65133.599999999999</v>
      </c>
      <c r="E28" s="872">
        <f>IF(E$3&gt;'Resultados_Tarifa e TIR'!$B$12,"",SUM(E25:E27))</f>
        <v>-65133.599999999999</v>
      </c>
      <c r="F28" s="872">
        <f>IF(F$3&gt;'Resultados_Tarifa e TIR'!$B$12,"",SUM(F25:F27))</f>
        <v>-65133.599999999999</v>
      </c>
      <c r="G28" s="872">
        <f>IF(G$3&gt;'Resultados_Tarifa e TIR'!$B$12,"",SUM(G25:G27))</f>
        <v>-65133.599999999999</v>
      </c>
      <c r="H28" s="872">
        <f>IF(H$3&gt;'Resultados_Tarifa e TIR'!$B$12,"",SUM(H25:H27))</f>
        <v>-65133.599999999999</v>
      </c>
      <c r="I28" s="872">
        <f>IF(I$3&gt;'Resultados_Tarifa e TIR'!$B$12,"",SUM(I25:I27))</f>
        <v>-65133.599999999999</v>
      </c>
      <c r="J28" s="872">
        <f>IF(J$3&gt;'Resultados_Tarifa e TIR'!$B$12,"",SUM(J25:J27))</f>
        <v>-65133.599999999999</v>
      </c>
      <c r="K28" s="872">
        <f>IF(K$3&gt;'Resultados_Tarifa e TIR'!$B$12,"",SUM(K25:K27))</f>
        <v>-65133.599999999999</v>
      </c>
      <c r="L28" s="872">
        <f>IF(L$3&gt;'Resultados_Tarifa e TIR'!$B$12,"",SUM(L25:L27))</f>
        <v>-65133.599999999999</v>
      </c>
      <c r="M28" s="872">
        <f>IF(M$3&gt;'Resultados_Tarifa e TIR'!$B$12,"",SUM(M25:M27))</f>
        <v>-65133.599999999999</v>
      </c>
      <c r="N28" s="872">
        <f>IF(N$3&gt;'Resultados_Tarifa e TIR'!$B$12,"",SUM(N25:N27))</f>
        <v>-65133.599999999999</v>
      </c>
      <c r="O28" s="872">
        <f>IF(O$3&gt;'Resultados_Tarifa e TIR'!$B$12,"",SUM(O25:O27))</f>
        <v>-65133.599999999999</v>
      </c>
      <c r="P28" s="872">
        <f>IF(P$3&gt;'Resultados_Tarifa e TIR'!$B$12,"",SUM(P25:P27))</f>
        <v>-65133.599999999999</v>
      </c>
      <c r="Q28" s="872">
        <f>IF(Q$3&gt;'Resultados_Tarifa e TIR'!$B$12,"",SUM(Q25:Q27))</f>
        <v>-65133.599999999999</v>
      </c>
      <c r="R28" s="872" t="str">
        <f>IF(R$3&gt;'Resultados_Tarifa e TIR'!$B$12,"",SUM(R25:R27))</f>
        <v/>
      </c>
      <c r="S28" s="872" t="str">
        <f>IF(S$3&gt;'Resultados_Tarifa e TIR'!$B$12,"",SUM(S25:S27))</f>
        <v/>
      </c>
      <c r="T28" s="872" t="str">
        <f>IF(T$3&gt;'Resultados_Tarifa e TIR'!$B$12,"",SUM(T25:T27))</f>
        <v/>
      </c>
      <c r="U28" s="872" t="str">
        <f>IF(U$3&gt;'Resultados_Tarifa e TIR'!$B$12,"",SUM(U25:U27))</f>
        <v/>
      </c>
      <c r="V28" s="872" t="str">
        <f>IF(V$3&gt;'Resultados_Tarifa e TIR'!$B$12,"",SUM(V25:V27))</f>
        <v/>
      </c>
      <c r="W28" s="872" t="str">
        <f>IF(W$3&gt;'Resultados_Tarifa e TIR'!$B$12,"",SUM(W25:W27))</f>
        <v/>
      </c>
      <c r="X28" s="872" t="str">
        <f>IF(X$3&gt;'Resultados_Tarifa e TIR'!$B$12,"",SUM(X25:X27))</f>
        <v/>
      </c>
      <c r="Y28" s="872" t="str">
        <f>IF(Y$3&gt;'Resultados_Tarifa e TIR'!$B$12,"",SUM(Y25:Y27))</f>
        <v/>
      </c>
      <c r="Z28" s="872" t="str">
        <f>IF(Z$3&gt;'Resultados_Tarifa e TIR'!$B$12,"",SUM(Z25:Z27))</f>
        <v/>
      </c>
      <c r="AA28" s="872" t="str">
        <f>IF(AA$3&gt;'Resultados_Tarifa e TIR'!$B$12,"",SUM(AA25:AA27))</f>
        <v/>
      </c>
      <c r="AB28" s="872"/>
    </row>
    <row r="29" spans="1:33" s="877" customFormat="1" x14ac:dyDescent="0.2">
      <c r="A29" s="876"/>
      <c r="B29" s="764" t="s">
        <v>1374</v>
      </c>
      <c r="C29" s="772">
        <f>IF(C$3&gt;'Resultados_Tarifa e TIR'!$B$12,"",'Resultados_Composição CT'!$C$22*-12)</f>
        <v>-99200</v>
      </c>
      <c r="D29" s="772">
        <f>IF(D$3&gt;'Resultados_Tarifa e TIR'!$B$12,"",'Resultados_Composição CT'!$C$22*-12)</f>
        <v>-99200</v>
      </c>
      <c r="E29" s="772">
        <f>IF(E$3&gt;'Resultados_Tarifa e TIR'!$B$12,"",'Resultados_Composição CT'!$C$22*-12)</f>
        <v>-99200</v>
      </c>
      <c r="F29" s="772">
        <f>IF(F$3&gt;'Resultados_Tarifa e TIR'!$B$12,"",'Resultados_Composição CT'!$C$22*-12)</f>
        <v>-99200</v>
      </c>
      <c r="G29" s="772">
        <f>IF(G$3&gt;'Resultados_Tarifa e TIR'!$B$12,"",'Resultados_Composição CT'!$C$22*-12)</f>
        <v>-99200</v>
      </c>
      <c r="H29" s="772">
        <f>IF(H$3&gt;'Resultados_Tarifa e TIR'!$B$12,"",'Resultados_Composição CT'!$C$22*-12)</f>
        <v>-99200</v>
      </c>
      <c r="I29" s="772">
        <f>IF(I$3&gt;'Resultados_Tarifa e TIR'!$B$12,"",'Resultados_Composição CT'!$C$22*-12)</f>
        <v>-99200</v>
      </c>
      <c r="J29" s="772">
        <f>IF(J$3&gt;'Resultados_Tarifa e TIR'!$B$12,"",'Resultados_Composição CT'!$C$22*-12)</f>
        <v>-99200</v>
      </c>
      <c r="K29" s="772">
        <f>IF(K$3&gt;'Resultados_Tarifa e TIR'!$B$12,"",'Resultados_Composição CT'!$C$22*-12)</f>
        <v>-99200</v>
      </c>
      <c r="L29" s="772">
        <f>IF(L$3&gt;'Resultados_Tarifa e TIR'!$B$12,"",'Resultados_Composição CT'!$C$22*-12)</f>
        <v>-99200</v>
      </c>
      <c r="M29" s="772">
        <f>IF(M$3&gt;'Resultados_Tarifa e TIR'!$B$12,"",'Resultados_Composição CT'!$C$22*-12)</f>
        <v>-99200</v>
      </c>
      <c r="N29" s="772">
        <f>IF(N$3&gt;'Resultados_Tarifa e TIR'!$B$12,"",'Resultados_Composição CT'!$C$22*-12)</f>
        <v>-99200</v>
      </c>
      <c r="O29" s="772">
        <f>IF(O$3&gt;'Resultados_Tarifa e TIR'!$B$12,"",'Resultados_Composição CT'!$C$22*-12)</f>
        <v>-99200</v>
      </c>
      <c r="P29" s="772">
        <f>IF(P$3&gt;'Resultados_Tarifa e TIR'!$B$12,"",'Resultados_Composição CT'!$C$22*-12)</f>
        <v>-99200</v>
      </c>
      <c r="Q29" s="772">
        <f>IF(Q$3&gt;'Resultados_Tarifa e TIR'!$B$12,"",'Resultados_Composição CT'!$C$22*-12)</f>
        <v>-99200</v>
      </c>
      <c r="R29" s="772" t="str">
        <f>IF(R$3&gt;'Resultados_Tarifa e TIR'!$B$12,"",'Resultados_Composição CT'!$C$22*-12)</f>
        <v/>
      </c>
      <c r="S29" s="772" t="str">
        <f>IF(S$3&gt;'Resultados_Tarifa e TIR'!$B$12,"",'Resultados_Composição CT'!$C$22*-12)</f>
        <v/>
      </c>
      <c r="T29" s="772" t="str">
        <f>IF(T$3&gt;'Resultados_Tarifa e TIR'!$B$12,"",'Resultados_Composição CT'!$C$22*-12)</f>
        <v/>
      </c>
      <c r="U29" s="772" t="str">
        <f>IF(U$3&gt;'Resultados_Tarifa e TIR'!$B$12,"",'Resultados_Composição CT'!$C$22*-12)</f>
        <v/>
      </c>
      <c r="V29" s="772" t="str">
        <f>IF(V$3&gt;'Resultados_Tarifa e TIR'!$B$12,"",'Resultados_Composição CT'!$C$22*-12)</f>
        <v/>
      </c>
      <c r="W29" s="772" t="str">
        <f>IF(W$3&gt;'Resultados_Tarifa e TIR'!$B$12,"",'Resultados_Composição CT'!$C$22*-12)</f>
        <v/>
      </c>
      <c r="X29" s="772" t="str">
        <f>IF(X$3&gt;'Resultados_Tarifa e TIR'!$B$12,"",'Resultados_Composição CT'!$C$22*-12)</f>
        <v/>
      </c>
      <c r="Y29" s="772" t="str">
        <f>IF(Y$3&gt;'Resultados_Tarifa e TIR'!$B$12,"",'Resultados_Composição CT'!$C$22*-12)</f>
        <v/>
      </c>
      <c r="Z29" s="772" t="str">
        <f>IF(Z$3&gt;'Resultados_Tarifa e TIR'!$B$12,"",'Resultados_Composição CT'!$C$22*-12)</f>
        <v/>
      </c>
      <c r="AA29" s="772" t="str">
        <f>IF(AA$3&gt;'Resultados_Tarifa e TIR'!$B$12,"",'Resultados_Composição CT'!$C$22*-12)</f>
        <v/>
      </c>
      <c r="AB29" s="772"/>
    </row>
    <row r="30" spans="1:33" s="877" customFormat="1" x14ac:dyDescent="0.2">
      <c r="A30" s="876"/>
      <c r="B30" s="764" t="s">
        <v>1375</v>
      </c>
      <c r="C30" s="772">
        <f>IF(C$3&gt;'Resultados_Tarifa e TIR'!$B$12,"",'Resultados_Composição CT'!$C$23*-12)</f>
        <v>-2351.91</v>
      </c>
      <c r="D30" s="772">
        <f>IF(D$3&gt;'Resultados_Tarifa e TIR'!$B$12,"",'Resultados_Composição CT'!$C$23*-12)</f>
        <v>-2351.91</v>
      </c>
      <c r="E30" s="772">
        <f>IF(E$3&gt;'Resultados_Tarifa e TIR'!$B$12,"",'Resultados_Composição CT'!$C$23*-12)</f>
        <v>-2351.91</v>
      </c>
      <c r="F30" s="772">
        <f>IF(F$3&gt;'Resultados_Tarifa e TIR'!$B$12,"",'Resultados_Composição CT'!$C$23*-12)</f>
        <v>-2351.91</v>
      </c>
      <c r="G30" s="772">
        <f>IF(G$3&gt;'Resultados_Tarifa e TIR'!$B$12,"",'Resultados_Composição CT'!$C$23*-12)</f>
        <v>-2351.91</v>
      </c>
      <c r="H30" s="772">
        <f>IF(H$3&gt;'Resultados_Tarifa e TIR'!$B$12,"",'Resultados_Composição CT'!$C$23*-12)</f>
        <v>-2351.91</v>
      </c>
      <c r="I30" s="772">
        <f>IF(I$3&gt;'Resultados_Tarifa e TIR'!$B$12,"",'Resultados_Composição CT'!$C$23*-12)</f>
        <v>-2351.91</v>
      </c>
      <c r="J30" s="772">
        <f>IF(J$3&gt;'Resultados_Tarifa e TIR'!$B$12,"",'Resultados_Composição CT'!$C$23*-12)</f>
        <v>-2351.91</v>
      </c>
      <c r="K30" s="772">
        <f>IF(K$3&gt;'Resultados_Tarifa e TIR'!$B$12,"",'Resultados_Composição CT'!$C$23*-12)</f>
        <v>-2351.91</v>
      </c>
      <c r="L30" s="772">
        <f>IF(L$3&gt;'Resultados_Tarifa e TIR'!$B$12,"",'Resultados_Composição CT'!$C$23*-12)</f>
        <v>-2351.91</v>
      </c>
      <c r="M30" s="772">
        <f>IF(M$3&gt;'Resultados_Tarifa e TIR'!$B$12,"",'Resultados_Composição CT'!$C$23*-12)</f>
        <v>-2351.91</v>
      </c>
      <c r="N30" s="772">
        <f>IF(N$3&gt;'Resultados_Tarifa e TIR'!$B$12,"",'Resultados_Composição CT'!$C$23*-12)</f>
        <v>-2351.91</v>
      </c>
      <c r="O30" s="772">
        <f>IF(O$3&gt;'Resultados_Tarifa e TIR'!$B$12,"",'Resultados_Composição CT'!$C$23*-12)</f>
        <v>-2351.91</v>
      </c>
      <c r="P30" s="772">
        <f>IF(P$3&gt;'Resultados_Tarifa e TIR'!$B$12,"",'Resultados_Composição CT'!$C$23*-12)</f>
        <v>-2351.91</v>
      </c>
      <c r="Q30" s="772">
        <f>IF(Q$3&gt;'Resultados_Tarifa e TIR'!$B$12,"",'Resultados_Composição CT'!$C$23*-12)</f>
        <v>-2351.91</v>
      </c>
      <c r="R30" s="772" t="str">
        <f>IF(R$3&gt;'Resultados_Tarifa e TIR'!$B$12,"",'Resultados_Composição CT'!$C$23*-12)</f>
        <v/>
      </c>
      <c r="S30" s="772" t="str">
        <f>IF(S$3&gt;'Resultados_Tarifa e TIR'!$B$12,"",'Resultados_Composição CT'!$C$23*-12)</f>
        <v/>
      </c>
      <c r="T30" s="772" t="str">
        <f>IF(T$3&gt;'Resultados_Tarifa e TIR'!$B$12,"",'Resultados_Composição CT'!$C$23*-12)</f>
        <v/>
      </c>
      <c r="U30" s="772" t="str">
        <f>IF(U$3&gt;'Resultados_Tarifa e TIR'!$B$12,"",'Resultados_Composição CT'!$C$23*-12)</f>
        <v/>
      </c>
      <c r="V30" s="772" t="str">
        <f>IF(V$3&gt;'Resultados_Tarifa e TIR'!$B$12,"",'Resultados_Composição CT'!$C$23*-12)</f>
        <v/>
      </c>
      <c r="W30" s="772" t="str">
        <f>IF(W$3&gt;'Resultados_Tarifa e TIR'!$B$12,"",'Resultados_Composição CT'!$C$23*-12)</f>
        <v/>
      </c>
      <c r="X30" s="772" t="str">
        <f>IF(X$3&gt;'Resultados_Tarifa e TIR'!$B$12,"",'Resultados_Composição CT'!$C$23*-12)</f>
        <v/>
      </c>
      <c r="Y30" s="772" t="str">
        <f>IF(Y$3&gt;'Resultados_Tarifa e TIR'!$B$12,"",'Resultados_Composição CT'!$C$23*-12)</f>
        <v/>
      </c>
      <c r="Z30" s="772" t="str">
        <f>IF(Z$3&gt;'Resultados_Tarifa e TIR'!$B$12,"",'Resultados_Composição CT'!$C$23*-12)</f>
        <v/>
      </c>
      <c r="AA30" s="772" t="str">
        <f>IF(AA$3&gt;'Resultados_Tarifa e TIR'!$B$12,"",'Resultados_Composição CT'!$C$23*-12)</f>
        <v/>
      </c>
      <c r="AB30" s="772"/>
      <c r="AG30" s="682"/>
    </row>
    <row r="31" spans="1:33" s="877" customFormat="1" x14ac:dyDescent="0.2">
      <c r="A31" s="876"/>
      <c r="B31" s="764" t="s">
        <v>113</v>
      </c>
      <c r="C31" s="772">
        <f>IF(C$3&gt;'Resultados_Tarifa e TIR'!$B$12,"",'Resultados_Composição CT'!$C$24*-12)</f>
        <v>-12262.80000000001</v>
      </c>
      <c r="D31" s="772">
        <f>IF(D$3&gt;'Resultados_Tarifa e TIR'!$B$12,"",'Resultados_Composição CT'!$C$24*-12)</f>
        <v>-12262.80000000001</v>
      </c>
      <c r="E31" s="772">
        <f>IF(E$3&gt;'Resultados_Tarifa e TIR'!$B$12,"",'Resultados_Composição CT'!$C$24*-12)</f>
        <v>-12262.80000000001</v>
      </c>
      <c r="F31" s="772">
        <f>IF(F$3&gt;'Resultados_Tarifa e TIR'!$B$12,"",'Resultados_Composição CT'!$C$24*-12)</f>
        <v>-12262.80000000001</v>
      </c>
      <c r="G31" s="772">
        <f>IF(G$3&gt;'Resultados_Tarifa e TIR'!$B$12,"",'Resultados_Composição CT'!$C$24*-12)</f>
        <v>-12262.80000000001</v>
      </c>
      <c r="H31" s="772">
        <f>IF(H$3&gt;'Resultados_Tarifa e TIR'!$B$12,"",'Resultados_Composição CT'!$C$24*-12)</f>
        <v>-12262.80000000001</v>
      </c>
      <c r="I31" s="772">
        <f>IF(I$3&gt;'Resultados_Tarifa e TIR'!$B$12,"",'Resultados_Composição CT'!$C$24*-12)</f>
        <v>-12262.80000000001</v>
      </c>
      <c r="J31" s="772">
        <f>IF(J$3&gt;'Resultados_Tarifa e TIR'!$B$12,"",'Resultados_Composição CT'!$C$24*-12)</f>
        <v>-12262.80000000001</v>
      </c>
      <c r="K31" s="772">
        <f>IF(K$3&gt;'Resultados_Tarifa e TIR'!$B$12,"",'Resultados_Composição CT'!$C$24*-12)</f>
        <v>-12262.80000000001</v>
      </c>
      <c r="L31" s="772">
        <f>IF(L$3&gt;'Resultados_Tarifa e TIR'!$B$12,"",'Resultados_Composição CT'!$C$24*-12)</f>
        <v>-12262.80000000001</v>
      </c>
      <c r="M31" s="772">
        <f>IF(M$3&gt;'Resultados_Tarifa e TIR'!$B$12,"",'Resultados_Composição CT'!$C$24*-12)</f>
        <v>-12262.80000000001</v>
      </c>
      <c r="N31" s="772">
        <f>IF(N$3&gt;'Resultados_Tarifa e TIR'!$B$12,"",'Resultados_Composição CT'!$C$24*-12)</f>
        <v>-12262.80000000001</v>
      </c>
      <c r="O31" s="772">
        <f>IF(O$3&gt;'Resultados_Tarifa e TIR'!$B$12,"",'Resultados_Composição CT'!$C$24*-12)</f>
        <v>-12262.80000000001</v>
      </c>
      <c r="P31" s="772">
        <f>IF(P$3&gt;'Resultados_Tarifa e TIR'!$B$12,"",'Resultados_Composição CT'!$C$24*-12)</f>
        <v>-12262.80000000001</v>
      </c>
      <c r="Q31" s="772">
        <f>IF(Q$3&gt;'Resultados_Tarifa e TIR'!$B$12,"",'Resultados_Composição CT'!$C$24*-12)</f>
        <v>-12262.80000000001</v>
      </c>
      <c r="R31" s="772" t="str">
        <f>IF(R$3&gt;'Resultados_Tarifa e TIR'!$B$12,"",'Resultados_Composição CT'!$C$24*-12)</f>
        <v/>
      </c>
      <c r="S31" s="772" t="str">
        <f>IF(S$3&gt;'Resultados_Tarifa e TIR'!$B$12,"",'Resultados_Composição CT'!$C$24*-12)</f>
        <v/>
      </c>
      <c r="T31" s="772" t="str">
        <f>IF(T$3&gt;'Resultados_Tarifa e TIR'!$B$12,"",'Resultados_Composição CT'!$C$24*-12)</f>
        <v/>
      </c>
      <c r="U31" s="772" t="str">
        <f>IF(U$3&gt;'Resultados_Tarifa e TIR'!$B$12,"",'Resultados_Composição CT'!$C$24*-12)</f>
        <v/>
      </c>
      <c r="V31" s="772" t="str">
        <f>IF(V$3&gt;'Resultados_Tarifa e TIR'!$B$12,"",'Resultados_Composição CT'!$C$24*-12)</f>
        <v/>
      </c>
      <c r="W31" s="772" t="str">
        <f>IF(W$3&gt;'Resultados_Tarifa e TIR'!$B$12,"",'Resultados_Composição CT'!$C$24*-12)</f>
        <v/>
      </c>
      <c r="X31" s="772" t="str">
        <f>IF(X$3&gt;'Resultados_Tarifa e TIR'!$B$12,"",'Resultados_Composição CT'!$C$24*-12)</f>
        <v/>
      </c>
      <c r="Y31" s="772" t="str">
        <f>IF(Y$3&gt;'Resultados_Tarifa e TIR'!$B$12,"",'Resultados_Composição CT'!$C$24*-12)</f>
        <v/>
      </c>
      <c r="Z31" s="772" t="str">
        <f>IF(Z$3&gt;'Resultados_Tarifa e TIR'!$B$12,"",'Resultados_Composição CT'!$C$24*-12)</f>
        <v/>
      </c>
      <c r="AA31" s="772" t="str">
        <f>IF(AA$3&gt;'Resultados_Tarifa e TIR'!$B$12,"",'Resultados_Composição CT'!$C$24*-12)</f>
        <v/>
      </c>
      <c r="AB31" s="772"/>
      <c r="AG31" s="682"/>
    </row>
    <row r="32" spans="1:33" s="877" customFormat="1" x14ac:dyDescent="0.2">
      <c r="A32" s="876"/>
      <c r="B32" s="764" t="s">
        <v>1376</v>
      </c>
      <c r="C32" s="772">
        <f>IF(C$3&gt;'Resultados_Tarifa e TIR'!$B$12,"",'Resultados_Composição CT'!$C$25*-12)</f>
        <v>-26400</v>
      </c>
      <c r="D32" s="772">
        <f>IF(D$3&gt;'Resultados_Tarifa e TIR'!$B$12,"",'Resultados_Composição CT'!$C$25*-12)</f>
        <v>-26400</v>
      </c>
      <c r="E32" s="772">
        <f>IF(E$3&gt;'Resultados_Tarifa e TIR'!$B$12,"",'Resultados_Composição CT'!$C$25*-12)</f>
        <v>-26400</v>
      </c>
      <c r="F32" s="772">
        <f>IF(F$3&gt;'Resultados_Tarifa e TIR'!$B$12,"",'Resultados_Composição CT'!$C$25*-12)</f>
        <v>-26400</v>
      </c>
      <c r="G32" s="772">
        <f>IF(G$3&gt;'Resultados_Tarifa e TIR'!$B$12,"",'Resultados_Composição CT'!$C$25*-12)</f>
        <v>-26400</v>
      </c>
      <c r="H32" s="772">
        <f>IF(H$3&gt;'Resultados_Tarifa e TIR'!$B$12,"",'Resultados_Composição CT'!$C$25*-12)</f>
        <v>-26400</v>
      </c>
      <c r="I32" s="772">
        <f>IF(I$3&gt;'Resultados_Tarifa e TIR'!$B$12,"",'Resultados_Composição CT'!$C$25*-12)</f>
        <v>-26400</v>
      </c>
      <c r="J32" s="772">
        <f>IF(J$3&gt;'Resultados_Tarifa e TIR'!$B$12,"",'Resultados_Composição CT'!$C$25*-12)</f>
        <v>-26400</v>
      </c>
      <c r="K32" s="772">
        <f>IF(K$3&gt;'Resultados_Tarifa e TIR'!$B$12,"",'Resultados_Composição CT'!$C$25*-12)</f>
        <v>-26400</v>
      </c>
      <c r="L32" s="772">
        <f>IF(L$3&gt;'Resultados_Tarifa e TIR'!$B$12,"",'Resultados_Composição CT'!$C$25*-12)</f>
        <v>-26400</v>
      </c>
      <c r="M32" s="772">
        <f>IF(M$3&gt;'Resultados_Tarifa e TIR'!$B$12,"",'Resultados_Composição CT'!$C$25*-12)</f>
        <v>-26400</v>
      </c>
      <c r="N32" s="772">
        <f>IF(N$3&gt;'Resultados_Tarifa e TIR'!$B$12,"",'Resultados_Composição CT'!$C$25*-12)</f>
        <v>-26400</v>
      </c>
      <c r="O32" s="772">
        <f>IF(O$3&gt;'Resultados_Tarifa e TIR'!$B$12,"",'Resultados_Composição CT'!$C$25*-12)</f>
        <v>-26400</v>
      </c>
      <c r="P32" s="772">
        <f>IF(P$3&gt;'Resultados_Tarifa e TIR'!$B$12,"",'Resultados_Composição CT'!$C$25*-12)</f>
        <v>-26400</v>
      </c>
      <c r="Q32" s="772">
        <f>IF(Q$3&gt;'Resultados_Tarifa e TIR'!$B$12,"",'Resultados_Composição CT'!$C$25*-12)</f>
        <v>-26400</v>
      </c>
      <c r="R32" s="772" t="str">
        <f>IF(R$3&gt;'Resultados_Tarifa e TIR'!$B$12,"",'Resultados_Composição CT'!$C$25*-12)</f>
        <v/>
      </c>
      <c r="S32" s="772" t="str">
        <f>IF(S$3&gt;'Resultados_Tarifa e TIR'!$B$12,"",'Resultados_Composição CT'!$C$25*-12)</f>
        <v/>
      </c>
      <c r="T32" s="772" t="str">
        <f>IF(T$3&gt;'Resultados_Tarifa e TIR'!$B$12,"",'Resultados_Composição CT'!$C$25*-12)</f>
        <v/>
      </c>
      <c r="U32" s="772" t="str">
        <f>IF(U$3&gt;'Resultados_Tarifa e TIR'!$B$12,"",'Resultados_Composição CT'!$C$25*-12)</f>
        <v/>
      </c>
      <c r="V32" s="772" t="str">
        <f>IF(V$3&gt;'Resultados_Tarifa e TIR'!$B$12,"",'Resultados_Composição CT'!$C$25*-12)</f>
        <v/>
      </c>
      <c r="W32" s="772" t="str">
        <f>IF(W$3&gt;'Resultados_Tarifa e TIR'!$B$12,"",'Resultados_Composição CT'!$C$25*-12)</f>
        <v/>
      </c>
      <c r="X32" s="772" t="str">
        <f>IF(X$3&gt;'Resultados_Tarifa e TIR'!$B$12,"",'Resultados_Composição CT'!$C$25*-12)</f>
        <v/>
      </c>
      <c r="Y32" s="772" t="str">
        <f>IF(Y$3&gt;'Resultados_Tarifa e TIR'!$B$12,"",'Resultados_Composição CT'!$C$25*-12)</f>
        <v/>
      </c>
      <c r="Z32" s="772" t="str">
        <f>IF(Z$3&gt;'Resultados_Tarifa e TIR'!$B$12,"",'Resultados_Composição CT'!$C$25*-12)</f>
        <v/>
      </c>
      <c r="AA32" s="772" t="str">
        <f>IF(AA$3&gt;'Resultados_Tarifa e TIR'!$B$12,"",'Resultados_Composição CT'!$C$25*-12)</f>
        <v/>
      </c>
      <c r="AB32" s="772"/>
      <c r="AG32" s="682"/>
    </row>
    <row r="33" spans="1:33" s="877" customFormat="1" x14ac:dyDescent="0.2">
      <c r="A33" s="876"/>
      <c r="B33" s="764" t="s">
        <v>1377</v>
      </c>
      <c r="C33" s="772">
        <f>IF(C$3&gt;'Resultados_Tarifa e TIR'!$B$12,"",'Resultados_Composição CT'!$C$26*-12)</f>
        <v>-45600</v>
      </c>
      <c r="D33" s="772">
        <f>IF(D$3&gt;'Resultados_Tarifa e TIR'!$B$12,"",'Resultados_Composição CT'!$C$26*-12)</f>
        <v>-45600</v>
      </c>
      <c r="E33" s="772">
        <f>IF(E$3&gt;'Resultados_Tarifa e TIR'!$B$12,"",'Resultados_Composição CT'!$C$26*-12)</f>
        <v>-45600</v>
      </c>
      <c r="F33" s="772">
        <f>IF(F$3&gt;'Resultados_Tarifa e TIR'!$B$12,"",'Resultados_Composição CT'!$C$26*-12)</f>
        <v>-45600</v>
      </c>
      <c r="G33" s="772">
        <f>IF(G$3&gt;'Resultados_Tarifa e TIR'!$B$12,"",'Resultados_Composição CT'!$C$26*-12)</f>
        <v>-45600</v>
      </c>
      <c r="H33" s="772">
        <f>IF(H$3&gt;'Resultados_Tarifa e TIR'!$B$12,"",'Resultados_Composição CT'!$C$26*-12)</f>
        <v>-45600</v>
      </c>
      <c r="I33" s="772">
        <f>IF(I$3&gt;'Resultados_Tarifa e TIR'!$B$12,"",'Resultados_Composição CT'!$C$26*-12)</f>
        <v>-45600</v>
      </c>
      <c r="J33" s="772">
        <f>IF(J$3&gt;'Resultados_Tarifa e TIR'!$B$12,"",'Resultados_Composição CT'!$C$26*-12)</f>
        <v>-45600</v>
      </c>
      <c r="K33" s="772">
        <f>IF(K$3&gt;'Resultados_Tarifa e TIR'!$B$12,"",'Resultados_Composição CT'!$C$26*-12)</f>
        <v>-45600</v>
      </c>
      <c r="L33" s="772">
        <f>IF(L$3&gt;'Resultados_Tarifa e TIR'!$B$12,"",'Resultados_Composição CT'!$C$26*-12)</f>
        <v>-45600</v>
      </c>
      <c r="M33" s="772">
        <f>IF(M$3&gt;'Resultados_Tarifa e TIR'!$B$12,"",'Resultados_Composição CT'!$C$26*-12)</f>
        <v>-45600</v>
      </c>
      <c r="N33" s="772">
        <f>IF(N$3&gt;'Resultados_Tarifa e TIR'!$B$12,"",'Resultados_Composição CT'!$C$26*-12)</f>
        <v>-45600</v>
      </c>
      <c r="O33" s="772">
        <f>IF(O$3&gt;'Resultados_Tarifa e TIR'!$B$12,"",'Resultados_Composição CT'!$C$26*-12)</f>
        <v>-45600</v>
      </c>
      <c r="P33" s="772">
        <f>IF(P$3&gt;'Resultados_Tarifa e TIR'!$B$12,"",'Resultados_Composição CT'!$C$26*-12)</f>
        <v>-45600</v>
      </c>
      <c r="Q33" s="772">
        <f>IF(Q$3&gt;'Resultados_Tarifa e TIR'!$B$12,"",'Resultados_Composição CT'!$C$26*-12)</f>
        <v>-45600</v>
      </c>
      <c r="R33" s="772" t="str">
        <f>IF(R$3&gt;'Resultados_Tarifa e TIR'!$B$12,"",'Resultados_Composição CT'!$C$26*-12)</f>
        <v/>
      </c>
      <c r="S33" s="772" t="str">
        <f>IF(S$3&gt;'Resultados_Tarifa e TIR'!$B$12,"",'Resultados_Composição CT'!$C$26*-12)</f>
        <v/>
      </c>
      <c r="T33" s="772" t="str">
        <f>IF(T$3&gt;'Resultados_Tarifa e TIR'!$B$12,"",'Resultados_Composição CT'!$C$26*-12)</f>
        <v/>
      </c>
      <c r="U33" s="772" t="str">
        <f>IF(U$3&gt;'Resultados_Tarifa e TIR'!$B$12,"",'Resultados_Composição CT'!$C$26*-12)</f>
        <v/>
      </c>
      <c r="V33" s="772" t="str">
        <f>IF(V$3&gt;'Resultados_Tarifa e TIR'!$B$12,"",'Resultados_Composição CT'!$C$26*-12)</f>
        <v/>
      </c>
      <c r="W33" s="772" t="str">
        <f>IF(W$3&gt;'Resultados_Tarifa e TIR'!$B$12,"",'Resultados_Composição CT'!$C$26*-12)</f>
        <v/>
      </c>
      <c r="X33" s="772" t="str">
        <f>IF(X$3&gt;'Resultados_Tarifa e TIR'!$B$12,"",'Resultados_Composição CT'!$C$26*-12)</f>
        <v/>
      </c>
      <c r="Y33" s="772" t="str">
        <f>IF(Y$3&gt;'Resultados_Tarifa e TIR'!$B$12,"",'Resultados_Composição CT'!$C$26*-12)</f>
        <v/>
      </c>
      <c r="Z33" s="772" t="str">
        <f>IF(Z$3&gt;'Resultados_Tarifa e TIR'!$B$12,"",'Resultados_Composição CT'!$C$26*-12)</f>
        <v/>
      </c>
      <c r="AA33" s="772" t="str">
        <f>IF(AA$3&gt;'Resultados_Tarifa e TIR'!$B$12,"",'Resultados_Composição CT'!$C$26*-12)</f>
        <v/>
      </c>
      <c r="AB33" s="772"/>
      <c r="AG33" s="682"/>
    </row>
    <row r="34" spans="1:33" s="873" customFormat="1" x14ac:dyDescent="0.2">
      <c r="A34" s="871">
        <f t="shared" si="0"/>
        <v>-2787220.65</v>
      </c>
      <c r="B34" s="874" t="s">
        <v>1279</v>
      </c>
      <c r="C34" s="872">
        <f>IF(C$3&gt;'Resultados_Tarifa e TIR'!$B$12,"",SUM(C29:C33))</f>
        <v>-185814.71000000002</v>
      </c>
      <c r="D34" s="872">
        <f>IF(D$3&gt;'Resultados_Tarifa e TIR'!$B$12,"",SUM(D29:D33))</f>
        <v>-185814.71000000002</v>
      </c>
      <c r="E34" s="872">
        <f>IF(E$3&gt;'Resultados_Tarifa e TIR'!$B$12,"",SUM(E29:E33))</f>
        <v>-185814.71000000002</v>
      </c>
      <c r="F34" s="872">
        <f>IF(F$3&gt;'Resultados_Tarifa e TIR'!$B$12,"",SUM(F29:F33))</f>
        <v>-185814.71000000002</v>
      </c>
      <c r="G34" s="872">
        <f>IF(G$3&gt;'Resultados_Tarifa e TIR'!$B$12,"",SUM(G29:G33))</f>
        <v>-185814.71000000002</v>
      </c>
      <c r="H34" s="872">
        <f>IF(H$3&gt;'Resultados_Tarifa e TIR'!$B$12,"",SUM(H29:H33))</f>
        <v>-185814.71000000002</v>
      </c>
      <c r="I34" s="872">
        <f>IF(I$3&gt;'Resultados_Tarifa e TIR'!$B$12,"",SUM(I29:I33))</f>
        <v>-185814.71000000002</v>
      </c>
      <c r="J34" s="872">
        <f>IF(J$3&gt;'Resultados_Tarifa e TIR'!$B$12,"",SUM(J29:J33))</f>
        <v>-185814.71000000002</v>
      </c>
      <c r="K34" s="872">
        <f>IF(K$3&gt;'Resultados_Tarifa e TIR'!$B$12,"",SUM(K29:K33))</f>
        <v>-185814.71000000002</v>
      </c>
      <c r="L34" s="872">
        <f>IF(L$3&gt;'Resultados_Tarifa e TIR'!$B$12,"",SUM(L29:L33))</f>
        <v>-185814.71000000002</v>
      </c>
      <c r="M34" s="872">
        <f>IF(M$3&gt;'Resultados_Tarifa e TIR'!$B$12,"",SUM(M29:M33))</f>
        <v>-185814.71000000002</v>
      </c>
      <c r="N34" s="872">
        <f>IF(N$3&gt;'Resultados_Tarifa e TIR'!$B$12,"",SUM(N29:N33))</f>
        <v>-185814.71000000002</v>
      </c>
      <c r="O34" s="872">
        <f>IF(O$3&gt;'Resultados_Tarifa e TIR'!$B$12,"",SUM(O29:O33))</f>
        <v>-185814.71000000002</v>
      </c>
      <c r="P34" s="872">
        <f>IF(P$3&gt;'Resultados_Tarifa e TIR'!$B$12,"",SUM(P29:P33))</f>
        <v>-185814.71000000002</v>
      </c>
      <c r="Q34" s="872">
        <f>IF(Q$3&gt;'Resultados_Tarifa e TIR'!$B$12,"",SUM(Q29:Q33))</f>
        <v>-185814.71000000002</v>
      </c>
      <c r="R34" s="872" t="str">
        <f>IF(R$3&gt;'Resultados_Tarifa e TIR'!$B$12,"",SUM(R29:R33))</f>
        <v/>
      </c>
      <c r="S34" s="872" t="str">
        <f>IF(S$3&gt;'Resultados_Tarifa e TIR'!$B$12,"",SUM(S29:S33))</f>
        <v/>
      </c>
      <c r="T34" s="872" t="str">
        <f>IF(T$3&gt;'Resultados_Tarifa e TIR'!$B$12,"",SUM(T29:T33))</f>
        <v/>
      </c>
      <c r="U34" s="872" t="str">
        <f>IF(U$3&gt;'Resultados_Tarifa e TIR'!$B$12,"",SUM(U29:U33))</f>
        <v/>
      </c>
      <c r="V34" s="872" t="str">
        <f>IF(V$3&gt;'Resultados_Tarifa e TIR'!$B$12,"",SUM(V29:V33))</f>
        <v/>
      </c>
      <c r="W34" s="872" t="str">
        <f>IF(W$3&gt;'Resultados_Tarifa e TIR'!$B$12,"",SUM(W29:W33))</f>
        <v/>
      </c>
      <c r="X34" s="872" t="str">
        <f>IF(X$3&gt;'Resultados_Tarifa e TIR'!$B$12,"",SUM(X29:X33))</f>
        <v/>
      </c>
      <c r="Y34" s="872" t="str">
        <f>IF(Y$3&gt;'Resultados_Tarifa e TIR'!$B$12,"",SUM(Y29:Y33))</f>
        <v/>
      </c>
      <c r="Z34" s="872" t="str">
        <f>IF(Z$3&gt;'Resultados_Tarifa e TIR'!$B$12,"",SUM(Z29:Z33))</f>
        <v/>
      </c>
      <c r="AA34" s="872" t="str">
        <f>IF(AA$3&gt;'Resultados_Tarifa e TIR'!$B$12,"",SUM(AA29:AA33))</f>
        <v/>
      </c>
      <c r="AB34" s="872"/>
      <c r="AG34" s="682"/>
    </row>
    <row r="35" spans="1:33" s="768" customFormat="1" x14ac:dyDescent="0.2">
      <c r="A35" s="765">
        <f t="shared" si="0"/>
        <v>-61429436.365358561</v>
      </c>
      <c r="B35" s="769" t="s">
        <v>1280</v>
      </c>
      <c r="C35" s="776">
        <f>IF(C$3&gt;'Resultados_Tarifa e TIR'!$B$12,"",SUM(C21,C24,C28,C34))</f>
        <v>-4076468.0243572388</v>
      </c>
      <c r="D35" s="776">
        <f>IF(D$3&gt;'Resultados_Tarifa e TIR'!$B$12,"",SUM(D21,D24,D28,D34))</f>
        <v>-4076468.0243572388</v>
      </c>
      <c r="E35" s="776">
        <f>IF(E$3&gt;'Resultados_Tarifa e TIR'!$B$12,"",SUM(E21,E24,E28,E34))</f>
        <v>-4098764.0243572388</v>
      </c>
      <c r="F35" s="776">
        <f>IF(F$3&gt;'Resultados_Tarifa e TIR'!$B$12,"",SUM(F21,F24,F28,F34))</f>
        <v>-4098764.0243572388</v>
      </c>
      <c r="G35" s="776">
        <f>IF(G$3&gt;'Resultados_Tarifa e TIR'!$B$12,"",SUM(G21,G24,G28,G34))</f>
        <v>-4106196.0243572388</v>
      </c>
      <c r="H35" s="776">
        <f>IF(H$3&gt;'Resultados_Tarifa e TIR'!$B$12,"",SUM(H21,H24,H28,H34))</f>
        <v>-4076468.0243572388</v>
      </c>
      <c r="I35" s="776">
        <f>IF(I$3&gt;'Resultados_Tarifa e TIR'!$B$12,"",SUM(I21,I24,I28,I34))</f>
        <v>-4121060.0243572388</v>
      </c>
      <c r="J35" s="776">
        <f>IF(J$3&gt;'Resultados_Tarifa e TIR'!$B$12,"",SUM(J21,J24,J28,J34))</f>
        <v>-4069036.0243572388</v>
      </c>
      <c r="K35" s="776">
        <f>IF(K$3&gt;'Resultados_Tarifa e TIR'!$B$12,"",SUM(K21,K24,K28,K34))</f>
        <v>-4091332.0243572388</v>
      </c>
      <c r="L35" s="776">
        <f>IF(L$3&gt;'Resultados_Tarifa e TIR'!$B$12,"",SUM(L21,L24,L28,L34))</f>
        <v>-4113628.0243572388</v>
      </c>
      <c r="M35" s="776">
        <f>IF(M$3&gt;'Resultados_Tarifa e TIR'!$B$12,"",SUM(M21,M24,M28,M34))</f>
        <v>-4098764.0243572388</v>
      </c>
      <c r="N35" s="776">
        <f>IF(N$3&gt;'Resultados_Tarifa e TIR'!$B$12,"",SUM(N21,N24,N28,N34))</f>
        <v>-4098764.0243572388</v>
      </c>
      <c r="O35" s="776">
        <f>IF(O$3&gt;'Resultados_Tarifa e TIR'!$B$12,"",SUM(O21,O24,O28,O34))</f>
        <v>-4135924.0243572388</v>
      </c>
      <c r="P35" s="776">
        <f>IF(P$3&gt;'Resultados_Tarifa e TIR'!$B$12,"",SUM(P21,P24,P28,P34))</f>
        <v>-4054172.0243572388</v>
      </c>
      <c r="Q35" s="776">
        <f>IF(Q$3&gt;'Resultados_Tarifa e TIR'!$B$12,"",SUM(Q21,Q24,Q28,Q34))</f>
        <v>-4113628.0243572388</v>
      </c>
      <c r="R35" s="776" t="str">
        <f>IF(R$3&gt;'Resultados_Tarifa e TIR'!$B$12,"",SUM(R21,R24,R28,R34))</f>
        <v/>
      </c>
      <c r="S35" s="776" t="str">
        <f>IF(S$3&gt;'Resultados_Tarifa e TIR'!$B$12,"",SUM(S21,S24,S28,S34))</f>
        <v/>
      </c>
      <c r="T35" s="776" t="str">
        <f>IF(T$3&gt;'Resultados_Tarifa e TIR'!$B$12,"",SUM(T21,T24,T28,T34))</f>
        <v/>
      </c>
      <c r="U35" s="776" t="str">
        <f>IF(U$3&gt;'Resultados_Tarifa e TIR'!$B$12,"",SUM(U21,U24,U28,U34))</f>
        <v/>
      </c>
      <c r="V35" s="776" t="str">
        <f>IF(V$3&gt;'Resultados_Tarifa e TIR'!$B$12,"",SUM(V21,V24,V28,V34))</f>
        <v/>
      </c>
      <c r="W35" s="776" t="str">
        <f>IF(W$3&gt;'Resultados_Tarifa e TIR'!$B$12,"",SUM(W21,W24,W28,W34))</f>
        <v/>
      </c>
      <c r="X35" s="776" t="str">
        <f>IF(X$3&gt;'Resultados_Tarifa e TIR'!$B$12,"",SUM(X21,X24,X28,X34))</f>
        <v/>
      </c>
      <c r="Y35" s="776" t="str">
        <f>IF(Y$3&gt;'Resultados_Tarifa e TIR'!$B$12,"",SUM(Y21,Y24,Y28,Y34))</f>
        <v/>
      </c>
      <c r="Z35" s="776" t="str">
        <f>IF(Z$3&gt;'Resultados_Tarifa e TIR'!$B$12,"",SUM(Z21,Z24,Z28,Z34))</f>
        <v/>
      </c>
      <c r="AA35" s="776" t="str">
        <f>IF(AA$3&gt;'Resultados_Tarifa e TIR'!$B$12,"",SUM(AA21,AA24,AA28,AA34))</f>
        <v/>
      </c>
      <c r="AB35" s="776"/>
      <c r="AC35" s="776"/>
      <c r="AG35" s="682"/>
    </row>
    <row r="36" spans="1:33" s="696" customFormat="1" x14ac:dyDescent="0.2">
      <c r="A36" s="771">
        <f t="shared" ca="1" si="0"/>
        <v>-5883605.4477090901</v>
      </c>
      <c r="B36" s="875" t="s">
        <v>1281</v>
      </c>
      <c r="C36" s="772">
        <f ca="1">IF(C$3&gt;'Resultados_Tarifa e TIR'!$B$12,"",-FC_Depreciação!C10)</f>
        <v>-480803.54165333323</v>
      </c>
      <c r="D36" s="772">
        <f ca="1">IF(D$3&gt;'Resultados_Tarifa e TIR'!$B$12,"",-FC_Depreciação!D10)</f>
        <v>-349155.57365333324</v>
      </c>
      <c r="E36" s="772">
        <f ca="1">IF(E$3&gt;'Resultados_Tarifa e TIR'!$B$12,"",-FC_Depreciação!E10)</f>
        <v>-444899.55038060597</v>
      </c>
      <c r="F36" s="772">
        <f ca="1">IF(F$3&gt;'Resultados_Tarifa e TIR'!$B$12,"",-FC_Depreciação!F10)</f>
        <v>-325219.57947151514</v>
      </c>
      <c r="G36" s="772">
        <f ca="1">IF(G$3&gt;'Resultados_Tarifa e TIR'!$B$12,"",-FC_Depreciação!G10)</f>
        <v>-420963.55619878782</v>
      </c>
      <c r="H36" s="772">
        <f ca="1">IF(H$3&gt;'Resultados_Tarifa e TIR'!$B$12,"",-FC_Depreciação!H10)</f>
        <v>-361123.57074424234</v>
      </c>
      <c r="I36" s="772">
        <f ca="1">IF(I$3&gt;'Resultados_Tarifa e TIR'!$B$12,"",-FC_Depreciação!I10)</f>
        <v>-397027.5620169696</v>
      </c>
      <c r="J36" s="772">
        <f ca="1">IF(J$3&gt;'Resultados_Tarifa e TIR'!$B$12,"",-FC_Depreciação!J10)</f>
        <v>-408995.55910787871</v>
      </c>
      <c r="K36" s="772">
        <f ca="1">IF(K$3&gt;'Resultados_Tarifa e TIR'!$B$12,"",-FC_Depreciação!K10)</f>
        <v>-432931.55328969692</v>
      </c>
      <c r="L36" s="772">
        <f ca="1">IF(L$3&gt;'Resultados_Tarifa e TIR'!$B$12,"",-FC_Depreciação!L10)</f>
        <v>-313251.58238060604</v>
      </c>
      <c r="M36" s="772">
        <f ca="1">IF(M$3&gt;'Resultados_Tarifa e TIR'!$B$12,"",-FC_Depreciação!M10)</f>
        <v>-408995.55910787871</v>
      </c>
      <c r="N36" s="772">
        <f ca="1">IF(N$3&gt;'Resultados_Tarifa e TIR'!$B$12,"",-FC_Depreciação!N10)</f>
        <v>-361123.57074424234</v>
      </c>
      <c r="O36" s="772">
        <f ca="1">IF(O$3&gt;'Resultados_Tarifa e TIR'!$B$12,"",-FC_Depreciação!O10)</f>
        <v>-325219.57947151508</v>
      </c>
      <c r="P36" s="772">
        <f ca="1">IF(P$3&gt;'Resultados_Tarifa e TIR'!$B$12,"",-FC_Depreciação!P10)</f>
        <v>-480803.54165333323</v>
      </c>
      <c r="Q36" s="772">
        <f ca="1">IF(Q$3&gt;'Resultados_Tarifa e TIR'!$B$12,"",-FC_Depreciação!Q10)</f>
        <v>-373091.56783515145</v>
      </c>
      <c r="R36" s="772" t="str">
        <f>IF(R$3&gt;'Resultados_Tarifa e TIR'!$B$12,"",-FC_Depreciação!R10)</f>
        <v/>
      </c>
      <c r="S36" s="772" t="str">
        <f>IF(S$3&gt;'Resultados_Tarifa e TIR'!$B$12,"",-FC_Depreciação!S10)</f>
        <v/>
      </c>
      <c r="T36" s="772" t="str">
        <f>IF(T$3&gt;'Resultados_Tarifa e TIR'!$B$12,"",-FC_Depreciação!T10)</f>
        <v/>
      </c>
      <c r="U36" s="772" t="str">
        <f>IF(U$3&gt;'Resultados_Tarifa e TIR'!$B$12,"",-FC_Depreciação!U10)</f>
        <v/>
      </c>
      <c r="V36" s="772" t="str">
        <f>IF(V$3&gt;'Resultados_Tarifa e TIR'!$B$12,"",-FC_Depreciação!V10)</f>
        <v/>
      </c>
      <c r="W36" s="772" t="str">
        <f>IF(W$3&gt;'Resultados_Tarifa e TIR'!$B$12,"",-FC_Depreciação!W10)</f>
        <v/>
      </c>
      <c r="X36" s="772" t="str">
        <f>IF(X$3&gt;'Resultados_Tarifa e TIR'!$B$12,"",-FC_Depreciação!X10)</f>
        <v/>
      </c>
      <c r="Y36" s="772" t="str">
        <f>IF(Y$3&gt;'Resultados_Tarifa e TIR'!$B$12,"",-FC_Depreciação!Y10)</f>
        <v/>
      </c>
      <c r="Z36" s="772" t="str">
        <f>IF(Z$3&gt;'Resultados_Tarifa e TIR'!$B$12,"",-FC_Depreciação!Z10)</f>
        <v/>
      </c>
      <c r="AA36" s="772" t="str">
        <f>IF(AA$3&gt;'Resultados_Tarifa e TIR'!$B$12,"",-FC_Depreciação!AA10)</f>
        <v/>
      </c>
      <c r="AG36" s="682"/>
    </row>
    <row r="37" spans="1:33" x14ac:dyDescent="0.2">
      <c r="A37" s="765">
        <f t="shared" ca="1" si="0"/>
        <v>-5883605.4477090901</v>
      </c>
      <c r="B37" s="769" t="s">
        <v>1282</v>
      </c>
      <c r="C37" s="770">
        <f ca="1">IF(C$3&gt;'Resultados_Tarifa e TIR'!$B$12,"",SUM(C36:C36))</f>
        <v>-480803.54165333323</v>
      </c>
      <c r="D37" s="770">
        <f ca="1">IF(D$3&gt;'Resultados_Tarifa e TIR'!$B$12,"",SUM(D36:D36))</f>
        <v>-349155.57365333324</v>
      </c>
      <c r="E37" s="770">
        <f ca="1">IF(E$3&gt;'Resultados_Tarifa e TIR'!$B$12,"",SUM(E36:E36))</f>
        <v>-444899.55038060597</v>
      </c>
      <c r="F37" s="770">
        <f ca="1">IF(F$3&gt;'Resultados_Tarifa e TIR'!$B$12,"",SUM(F36:F36))</f>
        <v>-325219.57947151514</v>
      </c>
      <c r="G37" s="770">
        <f ca="1">IF(G$3&gt;'Resultados_Tarifa e TIR'!$B$12,"",SUM(G36:G36))</f>
        <v>-420963.55619878782</v>
      </c>
      <c r="H37" s="770">
        <f ca="1">IF(H$3&gt;'Resultados_Tarifa e TIR'!$B$12,"",SUM(H36:H36))</f>
        <v>-361123.57074424234</v>
      </c>
      <c r="I37" s="770">
        <f ca="1">IF(I$3&gt;'Resultados_Tarifa e TIR'!$B$12,"",SUM(I36:I36))</f>
        <v>-397027.5620169696</v>
      </c>
      <c r="J37" s="770">
        <f ca="1">IF(J$3&gt;'Resultados_Tarifa e TIR'!$B$12,"",SUM(J36:J36))</f>
        <v>-408995.55910787871</v>
      </c>
      <c r="K37" s="770">
        <f ca="1">IF(K$3&gt;'Resultados_Tarifa e TIR'!$B$12,"",SUM(K36:K36))</f>
        <v>-432931.55328969692</v>
      </c>
      <c r="L37" s="770">
        <f ca="1">IF(L$3&gt;'Resultados_Tarifa e TIR'!$B$12,"",SUM(L36:L36))</f>
        <v>-313251.58238060604</v>
      </c>
      <c r="M37" s="770">
        <f ca="1">IF(M$3&gt;'Resultados_Tarifa e TIR'!$B$12,"",SUM(M36:M36))</f>
        <v>-408995.55910787871</v>
      </c>
      <c r="N37" s="770">
        <f ca="1">IF(N$3&gt;'Resultados_Tarifa e TIR'!$B$12,"",SUM(N36:N36))</f>
        <v>-361123.57074424234</v>
      </c>
      <c r="O37" s="770">
        <f ca="1">IF(O$3&gt;'Resultados_Tarifa e TIR'!$B$12,"",SUM(O36:O36))</f>
        <v>-325219.57947151508</v>
      </c>
      <c r="P37" s="770">
        <f ca="1">IF(P$3&gt;'Resultados_Tarifa e TIR'!$B$12,"",SUM(P36:P36))</f>
        <v>-480803.54165333323</v>
      </c>
      <c r="Q37" s="770">
        <f ca="1">IF(Q$3&gt;'Resultados_Tarifa e TIR'!$B$12,"",SUM(Q36:Q36))</f>
        <v>-373091.56783515145</v>
      </c>
      <c r="R37" s="770" t="str">
        <f>IF(R$3&gt;'Resultados_Tarifa e TIR'!$B$12,"",SUM(R36:R36))</f>
        <v/>
      </c>
      <c r="S37" s="770" t="str">
        <f>IF(S$3&gt;'Resultados_Tarifa e TIR'!$B$12,"",SUM(S36:S36))</f>
        <v/>
      </c>
      <c r="T37" s="770" t="str">
        <f>IF(T$3&gt;'Resultados_Tarifa e TIR'!$B$12,"",SUM(T36:T36))</f>
        <v/>
      </c>
      <c r="U37" s="770" t="str">
        <f>IF(U$3&gt;'Resultados_Tarifa e TIR'!$B$12,"",SUM(U36:U36))</f>
        <v/>
      </c>
      <c r="V37" s="770" t="str">
        <f>IF(V$3&gt;'Resultados_Tarifa e TIR'!$B$12,"",SUM(V36:V36))</f>
        <v/>
      </c>
      <c r="W37" s="770" t="str">
        <f>IF(W$3&gt;'Resultados_Tarifa e TIR'!$B$12,"",SUM(W36:W36))</f>
        <v/>
      </c>
      <c r="X37" s="770" t="str">
        <f>IF(X$3&gt;'Resultados_Tarifa e TIR'!$B$12,"",SUM(X36:X36))</f>
        <v/>
      </c>
      <c r="Y37" s="770" t="str">
        <f>IF(Y$3&gt;'Resultados_Tarifa e TIR'!$B$12,"",SUM(Y36:Y36))</f>
        <v/>
      </c>
      <c r="Z37" s="770" t="str">
        <f>IF(Z$3&gt;'Resultados_Tarifa e TIR'!$B$12,"",SUM(Z36:Z36))</f>
        <v/>
      </c>
      <c r="AA37" s="770" t="str">
        <f>IF(AA$3&gt;'Resultados_Tarifa e TIR'!$B$12,"",SUM(AA36:AA36))</f>
        <v/>
      </c>
      <c r="AG37" s="682"/>
    </row>
    <row r="38" spans="1:33" x14ac:dyDescent="0.2">
      <c r="A38" s="773">
        <f t="shared" ca="1" si="0"/>
        <v>-67313041.81306766</v>
      </c>
      <c r="B38" s="774" t="s">
        <v>1072</v>
      </c>
      <c r="C38" s="775">
        <f ca="1">IF(C$3&gt;'Resultados_Tarifa e TIR'!$B$12,"",SUM(C35,C37))</f>
        <v>-4557271.566010572</v>
      </c>
      <c r="D38" s="775">
        <f ca="1">IF(D$3&gt;'Resultados_Tarifa e TIR'!$B$12,"",SUM(D35,D37))</f>
        <v>-4425623.5980105717</v>
      </c>
      <c r="E38" s="775">
        <f ca="1">IF(E$3&gt;'Resultados_Tarifa e TIR'!$B$12,"",SUM(E35,E37))</f>
        <v>-4543663.574737845</v>
      </c>
      <c r="F38" s="775">
        <f ca="1">IF(F$3&gt;'Resultados_Tarifa e TIR'!$B$12,"",SUM(F35,F37))</f>
        <v>-4423983.6038287543</v>
      </c>
      <c r="G38" s="775">
        <f ca="1">IF(G$3&gt;'Resultados_Tarifa e TIR'!$B$12,"",SUM(G35,G37))</f>
        <v>-4527159.5805560267</v>
      </c>
      <c r="H38" s="775">
        <f ca="1">IF(H$3&gt;'Resultados_Tarifa e TIR'!$B$12,"",SUM(H35,H37))</f>
        <v>-4437591.5951014813</v>
      </c>
      <c r="I38" s="775">
        <f ca="1">IF(I$3&gt;'Resultados_Tarifa e TIR'!$B$12,"",SUM(I35,I37))</f>
        <v>-4518087.5863742083</v>
      </c>
      <c r="J38" s="775">
        <f ca="1">IF(J$3&gt;'Resultados_Tarifa e TIR'!$B$12,"",SUM(J35,J37))</f>
        <v>-4478031.583465118</v>
      </c>
      <c r="K38" s="775">
        <f ca="1">IF(K$3&gt;'Resultados_Tarifa e TIR'!$B$12,"",SUM(K35,K37))</f>
        <v>-4524263.5776469354</v>
      </c>
      <c r="L38" s="775">
        <f ca="1">IF(L$3&gt;'Resultados_Tarifa e TIR'!$B$12,"",SUM(L35,L37))</f>
        <v>-4426879.6067378446</v>
      </c>
      <c r="M38" s="775">
        <f ca="1">IF(M$3&gt;'Resultados_Tarifa e TIR'!$B$12,"",SUM(M35,M37))</f>
        <v>-4507759.583465118</v>
      </c>
      <c r="N38" s="775">
        <f ca="1">IF(N$3&gt;'Resultados_Tarifa e TIR'!$B$12,"",SUM(N35,N37))</f>
        <v>-4459887.5951014813</v>
      </c>
      <c r="O38" s="775">
        <f ca="1">IF(O$3&gt;'Resultados_Tarifa e TIR'!$B$12,"",SUM(O35,O37))</f>
        <v>-4461143.6038287543</v>
      </c>
      <c r="P38" s="775">
        <f ca="1">IF(P$3&gt;'Resultados_Tarifa e TIR'!$B$12,"",SUM(P35,P37))</f>
        <v>-4534975.566010572</v>
      </c>
      <c r="Q38" s="775">
        <f ca="1">IF(Q$3&gt;'Resultados_Tarifa e TIR'!$B$12,"",SUM(Q35,Q37))</f>
        <v>-4486719.59219239</v>
      </c>
      <c r="R38" s="775" t="str">
        <f>IF(R$3&gt;'Resultados_Tarifa e TIR'!$B$12,"",SUM(R35,R37))</f>
        <v/>
      </c>
      <c r="S38" s="775" t="str">
        <f>IF(S$3&gt;'Resultados_Tarifa e TIR'!$B$12,"",SUM(S35,S37))</f>
        <v/>
      </c>
      <c r="T38" s="775" t="str">
        <f>IF(T$3&gt;'Resultados_Tarifa e TIR'!$B$12,"",SUM(T35,T37))</f>
        <v/>
      </c>
      <c r="U38" s="775" t="str">
        <f>IF(U$3&gt;'Resultados_Tarifa e TIR'!$B$12,"",SUM(U35,U37))</f>
        <v/>
      </c>
      <c r="V38" s="775" t="str">
        <f>IF(V$3&gt;'Resultados_Tarifa e TIR'!$B$12,"",SUM(V35,V37))</f>
        <v/>
      </c>
      <c r="W38" s="775" t="str">
        <f>IF(W$3&gt;'Resultados_Tarifa e TIR'!$B$12,"",SUM(W35,W37))</f>
        <v/>
      </c>
      <c r="X38" s="775" t="str">
        <f>IF(X$3&gt;'Resultados_Tarifa e TIR'!$B$12,"",SUM(X35,X37))</f>
        <v/>
      </c>
      <c r="Y38" s="775" t="str">
        <f>IF(Y$3&gt;'Resultados_Tarifa e TIR'!$B$12,"",SUM(Y35,Y37))</f>
        <v/>
      </c>
      <c r="Z38" s="775" t="str">
        <f>IF(Z$3&gt;'Resultados_Tarifa e TIR'!$B$12,"",SUM(Z35,Z37))</f>
        <v/>
      </c>
      <c r="AA38" s="775" t="str">
        <f>IF(AA$3&gt;'Resultados_Tarifa e TIR'!$B$12,"",SUM(AA35,AA37))</f>
        <v/>
      </c>
      <c r="AG38" s="682"/>
    </row>
    <row r="39" spans="1:33" x14ac:dyDescent="0.2">
      <c r="A39" s="773">
        <f t="shared" ca="1" si="0"/>
        <v>5756278.611135711</v>
      </c>
      <c r="B39" s="774" t="s">
        <v>1283</v>
      </c>
      <c r="C39" s="775">
        <f ca="1">IF(C$3&gt;'Resultados_Tarifa e TIR'!$B$12,"",SUM(C14,C38))</f>
        <v>314016.46226965357</v>
      </c>
      <c r="D39" s="775">
        <f ca="1">IF(D$3&gt;'Resultados_Tarifa e TIR'!$B$12,"",SUM(D14,D38))</f>
        <v>445664.43026965391</v>
      </c>
      <c r="E39" s="775">
        <f ca="1">IF(E$3&gt;'Resultados_Tarifa e TIR'!$B$12,"",SUM(E14,E38))</f>
        <v>327624.45354238059</v>
      </c>
      <c r="F39" s="775">
        <f ca="1">IF(F$3&gt;'Resultados_Tarifa e TIR'!$B$12,"",SUM(F14,F38))</f>
        <v>447304.42445147131</v>
      </c>
      <c r="G39" s="775">
        <f ca="1">IF(G$3&gt;'Resultados_Tarifa e TIR'!$B$12,"",SUM(G14,G38))</f>
        <v>344128.44772419892</v>
      </c>
      <c r="H39" s="775">
        <f ca="1">IF(H$3&gt;'Resultados_Tarifa e TIR'!$B$12,"",SUM(H14,H38))</f>
        <v>433696.43317874428</v>
      </c>
      <c r="I39" s="775">
        <f ca="1">IF(I$3&gt;'Resultados_Tarifa e TIR'!$B$12,"",SUM(I14,I38))</f>
        <v>353200.44190601725</v>
      </c>
      <c r="J39" s="775">
        <f ca="1">IF(J$3&gt;'Resultados_Tarifa e TIR'!$B$12,"",SUM(J14,J38))</f>
        <v>393256.44481510762</v>
      </c>
      <c r="K39" s="775">
        <f ca="1">IF(K$3&gt;'Resultados_Tarifa e TIR'!$B$12,"",SUM(K14,K38))</f>
        <v>347024.45063329022</v>
      </c>
      <c r="L39" s="775">
        <f ca="1">IF(L$3&gt;'Resultados_Tarifa e TIR'!$B$12,"",SUM(L14,L38))</f>
        <v>444408.42154238094</v>
      </c>
      <c r="M39" s="775">
        <f ca="1">IF(M$3&gt;'Resultados_Tarifa e TIR'!$B$12,"",SUM(M14,M38))</f>
        <v>363528.44481510762</v>
      </c>
      <c r="N39" s="775">
        <f ca="1">IF(N$3&gt;'Resultados_Tarifa e TIR'!$B$12,"",SUM(N14,N38))</f>
        <v>411400.43317874428</v>
      </c>
      <c r="O39" s="775">
        <f ca="1">IF(O$3&gt;'Resultados_Tarifa e TIR'!$B$12,"",SUM(O14,O38))</f>
        <v>410144.42445147131</v>
      </c>
      <c r="P39" s="775">
        <f ca="1">IF(P$3&gt;'Resultados_Tarifa e TIR'!$B$12,"",SUM(P14,P38))</f>
        <v>336312.46226965357</v>
      </c>
      <c r="Q39" s="775">
        <f ca="1">IF(Q$3&gt;'Resultados_Tarifa e TIR'!$B$12,"",SUM(Q14,Q38))</f>
        <v>384568.43608783558</v>
      </c>
      <c r="R39" s="775" t="str">
        <f>IF(R$3&gt;'Resultados_Tarifa e TIR'!$B$12,"",SUM(R14,R38))</f>
        <v/>
      </c>
      <c r="S39" s="775" t="str">
        <f>IF(S$3&gt;'Resultados_Tarifa e TIR'!$B$12,"",SUM(S14,S38))</f>
        <v/>
      </c>
      <c r="T39" s="775" t="str">
        <f>IF(T$3&gt;'Resultados_Tarifa e TIR'!$B$12,"",SUM(T14,T38))</f>
        <v/>
      </c>
      <c r="U39" s="775" t="str">
        <f>IF(U$3&gt;'Resultados_Tarifa e TIR'!$B$12,"",SUM(U14,U38))</f>
        <v/>
      </c>
      <c r="V39" s="775" t="str">
        <f>IF(V$3&gt;'Resultados_Tarifa e TIR'!$B$12,"",SUM(V14,V38))</f>
        <v/>
      </c>
      <c r="W39" s="775" t="str">
        <f>IF(W$3&gt;'Resultados_Tarifa e TIR'!$B$12,"",SUM(W14,W38))</f>
        <v/>
      </c>
      <c r="X39" s="775" t="str">
        <f>IF(X$3&gt;'Resultados_Tarifa e TIR'!$B$12,"",SUM(X14,X38))</f>
        <v/>
      </c>
      <c r="Y39" s="775" t="str">
        <f>IF(Y$3&gt;'Resultados_Tarifa e TIR'!$B$12,"",SUM(Y14,Y38))</f>
        <v/>
      </c>
      <c r="Z39" s="775" t="str">
        <f>IF(Z$3&gt;'Resultados_Tarifa e TIR'!$B$12,"",SUM(Z14,Z38))</f>
        <v/>
      </c>
      <c r="AA39" s="775" t="str">
        <f>IF(AA$3&gt;'Resultados_Tarifa e TIR'!$B$12,"",SUM(AA14,AA38))</f>
        <v/>
      </c>
      <c r="AG39" s="682"/>
    </row>
    <row r="40" spans="1:33" x14ac:dyDescent="0.2">
      <c r="A40" s="777">
        <f t="shared" ca="1" si="0"/>
        <v>5756278.611135711</v>
      </c>
      <c r="B40" s="778" t="s">
        <v>1284</v>
      </c>
      <c r="C40" s="779">
        <f ca="1">IF(C$3&gt;'Resultados_Tarifa e TIR'!$B$12,"",C14+C38)</f>
        <v>314016.46226965357</v>
      </c>
      <c r="D40" s="779">
        <f ca="1">IF(D$3&gt;'Resultados_Tarifa e TIR'!$B$12,"",D14+D38)</f>
        <v>445664.43026965391</v>
      </c>
      <c r="E40" s="779">
        <f ca="1">IF(E$3&gt;'Resultados_Tarifa e TIR'!$B$12,"",E14+E38)</f>
        <v>327624.45354238059</v>
      </c>
      <c r="F40" s="779">
        <f ca="1">IF(F$3&gt;'Resultados_Tarifa e TIR'!$B$12,"",F14+F38)</f>
        <v>447304.42445147131</v>
      </c>
      <c r="G40" s="779">
        <f ca="1">IF(G$3&gt;'Resultados_Tarifa e TIR'!$B$12,"",G14+G38)</f>
        <v>344128.44772419892</v>
      </c>
      <c r="H40" s="779">
        <f ca="1">IF(H$3&gt;'Resultados_Tarifa e TIR'!$B$12,"",H14+H38)</f>
        <v>433696.43317874428</v>
      </c>
      <c r="I40" s="779">
        <f ca="1">IF(I$3&gt;'Resultados_Tarifa e TIR'!$B$12,"",I14+I38)</f>
        <v>353200.44190601725</v>
      </c>
      <c r="J40" s="779">
        <f ca="1">IF(J$3&gt;'Resultados_Tarifa e TIR'!$B$12,"",J14+J38)</f>
        <v>393256.44481510762</v>
      </c>
      <c r="K40" s="779">
        <f ca="1">IF(K$3&gt;'Resultados_Tarifa e TIR'!$B$12,"",K14+K38)</f>
        <v>347024.45063329022</v>
      </c>
      <c r="L40" s="779">
        <f ca="1">IF(L$3&gt;'Resultados_Tarifa e TIR'!$B$12,"",L14+L38)</f>
        <v>444408.42154238094</v>
      </c>
      <c r="M40" s="779">
        <f ca="1">IF(M$3&gt;'Resultados_Tarifa e TIR'!$B$12,"",M14+M38)</f>
        <v>363528.44481510762</v>
      </c>
      <c r="N40" s="779">
        <f ca="1">IF(N$3&gt;'Resultados_Tarifa e TIR'!$B$12,"",N14+N38)</f>
        <v>411400.43317874428</v>
      </c>
      <c r="O40" s="779">
        <f ca="1">IF(O$3&gt;'Resultados_Tarifa e TIR'!$B$12,"",O14+O38)</f>
        <v>410144.42445147131</v>
      </c>
      <c r="P40" s="779">
        <f ca="1">IF(P$3&gt;'Resultados_Tarifa e TIR'!$B$12,"",P14+P38)</f>
        <v>336312.46226965357</v>
      </c>
      <c r="Q40" s="779">
        <f ca="1">IF(Q$3&gt;'Resultados_Tarifa e TIR'!$B$12,"",Q14+Q38)</f>
        <v>384568.43608783558</v>
      </c>
      <c r="R40" s="779" t="str">
        <f>IF(R$3&gt;'Resultados_Tarifa e TIR'!$B$12,"",R14+R38)</f>
        <v/>
      </c>
      <c r="S40" s="779" t="str">
        <f>IF(S$3&gt;'Resultados_Tarifa e TIR'!$B$12,"",S14+S38)</f>
        <v/>
      </c>
      <c r="T40" s="779" t="str">
        <f>IF(T$3&gt;'Resultados_Tarifa e TIR'!$B$12,"",T14+T38)</f>
        <v/>
      </c>
      <c r="U40" s="779" t="str">
        <f>IF(U$3&gt;'Resultados_Tarifa e TIR'!$B$12,"",U14+U38)</f>
        <v/>
      </c>
      <c r="V40" s="779" t="str">
        <f>IF(V$3&gt;'Resultados_Tarifa e TIR'!$B$12,"",V14+V38)</f>
        <v/>
      </c>
      <c r="W40" s="779" t="str">
        <f>IF(W$3&gt;'Resultados_Tarifa e TIR'!$B$12,"",W14+W38)</f>
        <v/>
      </c>
      <c r="X40" s="779" t="str">
        <f>IF(X$3&gt;'Resultados_Tarifa e TIR'!$B$12,"",X14+X38)</f>
        <v/>
      </c>
      <c r="Y40" s="779" t="str">
        <f>IF(Y$3&gt;'Resultados_Tarifa e TIR'!$B$12,"",Y14+Y38)</f>
        <v/>
      </c>
      <c r="Z40" s="779" t="str">
        <f>IF(Z$3&gt;'Resultados_Tarifa e TIR'!$B$12,"",Z14+Z38)</f>
        <v/>
      </c>
      <c r="AA40" s="779" t="str">
        <f>IF(AA$3&gt;'Resultados_Tarifa e TIR'!$B$12,"",AA14+AA38)</f>
        <v/>
      </c>
      <c r="AG40" s="682"/>
    </row>
    <row r="41" spans="1:33" x14ac:dyDescent="0.2">
      <c r="A41" s="780">
        <f ca="1">(A39)/A14</f>
        <v>7.8778324168305908E-2</v>
      </c>
      <c r="B41" s="781" t="s">
        <v>1285</v>
      </c>
      <c r="C41" s="782">
        <f ca="1">IF(C$3&gt;'Resultados_Tarifa e TIR'!$B$12,"",(C40)/C14)</f>
        <v>6.4462717139005823E-2</v>
      </c>
      <c r="D41" s="782">
        <f ca="1">IF(D$3&gt;'Resultados_Tarifa e TIR'!$B$12,"",(D40)/D14)</f>
        <v>9.1488006392221613E-2</v>
      </c>
      <c r="E41" s="782">
        <f ca="1">IF(E$3&gt;'Resultados_Tarifa e TIR'!$B$12,"",(E40)/E14)</f>
        <v>6.725622702668356E-2</v>
      </c>
      <c r="F41" s="782">
        <f ca="1">IF(F$3&gt;'Resultados_Tarifa e TIR'!$B$12,"",(F40)/F14)</f>
        <v>9.1824671802334182E-2</v>
      </c>
      <c r="G41" s="782">
        <f ca="1">IF(G$3&gt;'Resultados_Tarifa e TIR'!$B$12,"",(G40)/G14)</f>
        <v>7.0644241466807922E-2</v>
      </c>
      <c r="H41" s="782">
        <f ca="1">IF(H$3&gt;'Resultados_Tarifa e TIR'!$B$12,"",(H40)/H14)</f>
        <v>8.9031161914656445E-2</v>
      </c>
      <c r="I41" s="782">
        <f ca="1">IF(I$3&gt;'Resultados_Tarifa e TIR'!$B$12,"",(I40)/I14)</f>
        <v>7.2506581391926478E-2</v>
      </c>
      <c r="J41" s="782">
        <f ca="1">IF(J$3&gt;'Resultados_Tarifa e TIR'!$B$12,"",(J40)/J14)</f>
        <v>8.0729458519401914E-2</v>
      </c>
      <c r="K41" s="782">
        <f ca="1">IF(K$3&gt;'Resultados_Tarifa e TIR'!$B$12,"",(K40)/K14)</f>
        <v>7.1238746019254548E-2</v>
      </c>
      <c r="L41" s="782">
        <f ca="1">IF(L$3&gt;'Resultados_Tarifa e TIR'!$B$12,"",(L40)/L14)</f>
        <v>9.123016724988775E-2</v>
      </c>
      <c r="M41" s="782">
        <f ca="1">IF(M$3&gt;'Resultados_Tarifa e TIR'!$B$12,"",(M40)/M14)</f>
        <v>7.4626760459378716E-2</v>
      </c>
      <c r="N41" s="782">
        <f ca="1">IF(N$3&gt;'Resultados_Tarifa e TIR'!$B$12,"",(N40)/N14)</f>
        <v>8.445413836963904E-2</v>
      </c>
      <c r="O41" s="782">
        <f ca="1">IF(O$3&gt;'Resultados_Tarifa e TIR'!$B$12,"",(O40)/O14)</f>
        <v>8.4196299227305177E-2</v>
      </c>
      <c r="P41" s="782">
        <f ca="1">IF(P$3&gt;'Resultados_Tarifa e TIR'!$B$12,"",(P40)/P14)</f>
        <v>6.9039740684023229E-2</v>
      </c>
      <c r="Q41" s="782">
        <f ca="1">IF(Q$3&gt;'Resultados_Tarifa e TIR'!$B$12,"",(Q40)/Q14)</f>
        <v>7.8945944862062453E-2</v>
      </c>
      <c r="R41" s="782" t="str">
        <f>IF(R$3&gt;'Resultados_Tarifa e TIR'!$B$12,"",(R40)/R14)</f>
        <v/>
      </c>
      <c r="S41" s="782" t="str">
        <f>IF(S$3&gt;'Resultados_Tarifa e TIR'!$B$12,"",(S40)/S14)</f>
        <v/>
      </c>
      <c r="T41" s="782" t="str">
        <f>IF(T$3&gt;'Resultados_Tarifa e TIR'!$B$12,"",(T40)/T14)</f>
        <v/>
      </c>
      <c r="U41" s="782" t="str">
        <f>IF(U$3&gt;'Resultados_Tarifa e TIR'!$B$12,"",(U40)/U14)</f>
        <v/>
      </c>
      <c r="V41" s="782" t="str">
        <f>IF(V$3&gt;'Resultados_Tarifa e TIR'!$B$12,"",(V40)/V14)</f>
        <v/>
      </c>
      <c r="W41" s="782" t="str">
        <f>IF(W$3&gt;'Resultados_Tarifa e TIR'!$B$12,"",(W40)/W14)</f>
        <v/>
      </c>
      <c r="X41" s="782" t="str">
        <f>IF(X$3&gt;'Resultados_Tarifa e TIR'!$B$12,"",(X40)/X14)</f>
        <v/>
      </c>
      <c r="Y41" s="782" t="str">
        <f>IF(Y$3&gt;'Resultados_Tarifa e TIR'!$B$12,"",(Y40)/Y14)</f>
        <v/>
      </c>
      <c r="Z41" s="782" t="str">
        <f>IF(Z$3&gt;'Resultados_Tarifa e TIR'!$B$12,"",(Z40)/Z14)</f>
        <v/>
      </c>
      <c r="AA41" s="782" t="str">
        <f>IF(AA$3&gt;'Resultados_Tarifa e TIR'!$B$12,"",(AA40)/AA14)</f>
        <v/>
      </c>
      <c r="AG41" s="682"/>
    </row>
    <row r="42" spans="1:33" s="696" customFormat="1" x14ac:dyDescent="0.2">
      <c r="A42" s="771">
        <f ca="1">SUM(C42:AA42)</f>
        <v>5883605.4477090901</v>
      </c>
      <c r="B42" s="764" t="s">
        <v>832</v>
      </c>
      <c r="C42" s="772">
        <f ca="1">IF(C$3&gt;'Resultados_Tarifa e TIR'!$B$12,"",-C36)</f>
        <v>480803.54165333323</v>
      </c>
      <c r="D42" s="772">
        <f ca="1">IF(D$3&gt;'Resultados_Tarifa e TIR'!$B$12,"",-D36)</f>
        <v>349155.57365333324</v>
      </c>
      <c r="E42" s="772">
        <f ca="1">IF(E$3&gt;'Resultados_Tarifa e TIR'!$B$12,"",-E36)</f>
        <v>444899.55038060597</v>
      </c>
      <c r="F42" s="772">
        <f ca="1">IF(F$3&gt;'Resultados_Tarifa e TIR'!$B$12,"",-F36)</f>
        <v>325219.57947151514</v>
      </c>
      <c r="G42" s="772">
        <f ca="1">IF(G$3&gt;'Resultados_Tarifa e TIR'!$B$12,"",-G36)</f>
        <v>420963.55619878782</v>
      </c>
      <c r="H42" s="772">
        <f ca="1">IF(H$3&gt;'Resultados_Tarifa e TIR'!$B$12,"",-H36)</f>
        <v>361123.57074424234</v>
      </c>
      <c r="I42" s="772">
        <f ca="1">IF(I$3&gt;'Resultados_Tarifa e TIR'!$B$12,"",-I36)</f>
        <v>397027.5620169696</v>
      </c>
      <c r="J42" s="772">
        <f ca="1">IF(J$3&gt;'Resultados_Tarifa e TIR'!$B$12,"",-J36)</f>
        <v>408995.55910787871</v>
      </c>
      <c r="K42" s="772">
        <f ca="1">IF(K$3&gt;'Resultados_Tarifa e TIR'!$B$12,"",-K36)</f>
        <v>432931.55328969692</v>
      </c>
      <c r="L42" s="772">
        <f ca="1">IF(L$3&gt;'Resultados_Tarifa e TIR'!$B$12,"",-L36)</f>
        <v>313251.58238060604</v>
      </c>
      <c r="M42" s="772">
        <f ca="1">IF(M$3&gt;'Resultados_Tarifa e TIR'!$B$12,"",-M36)</f>
        <v>408995.55910787871</v>
      </c>
      <c r="N42" s="772">
        <f ca="1">IF(N$3&gt;'Resultados_Tarifa e TIR'!$B$12,"",-N36)</f>
        <v>361123.57074424234</v>
      </c>
      <c r="O42" s="772">
        <f ca="1">IF(O$3&gt;'Resultados_Tarifa e TIR'!$B$12,"",-O36)</f>
        <v>325219.57947151508</v>
      </c>
      <c r="P42" s="772">
        <f ca="1">IF(P$3&gt;'Resultados_Tarifa e TIR'!$B$12,"",-P36)</f>
        <v>480803.54165333323</v>
      </c>
      <c r="Q42" s="772">
        <f ca="1">IF(Q$3&gt;'Resultados_Tarifa e TIR'!$B$12,"",-Q36)</f>
        <v>373091.56783515145</v>
      </c>
      <c r="R42" s="772" t="str">
        <f>IF(R$3&gt;'Resultados_Tarifa e TIR'!$B$12,"",-R36)</f>
        <v/>
      </c>
      <c r="S42" s="772" t="str">
        <f>IF(S$3&gt;'Resultados_Tarifa e TIR'!$B$12,"",-S36)</f>
        <v/>
      </c>
      <c r="T42" s="772" t="str">
        <f>IF(T$3&gt;'Resultados_Tarifa e TIR'!$B$12,"",-T36)</f>
        <v/>
      </c>
      <c r="U42" s="772" t="str">
        <f>IF(U$3&gt;'Resultados_Tarifa e TIR'!$B$12,"",-U36)</f>
        <v/>
      </c>
      <c r="V42" s="772" t="str">
        <f>IF(V$3&gt;'Resultados_Tarifa e TIR'!$B$12,"",-V36)</f>
        <v/>
      </c>
      <c r="W42" s="772" t="str">
        <f>IF(W$3&gt;'Resultados_Tarifa e TIR'!$B$12,"",-W36)</f>
        <v/>
      </c>
      <c r="X42" s="772" t="str">
        <f>IF(X$3&gt;'Resultados_Tarifa e TIR'!$B$12,"",-X36)</f>
        <v/>
      </c>
      <c r="Y42" s="772" t="str">
        <f>IF(Y$3&gt;'Resultados_Tarifa e TIR'!$B$12,"",-Y36)</f>
        <v/>
      </c>
      <c r="Z42" s="772" t="str">
        <f>IF(Z$3&gt;'Resultados_Tarifa e TIR'!$B$12,"",-Z36)</f>
        <v/>
      </c>
      <c r="AA42" s="772" t="str">
        <f>IF(AA$3&gt;'Resultados_Tarifa e TIR'!$B$12,"",-AA36)</f>
        <v/>
      </c>
      <c r="AG42" s="682"/>
    </row>
    <row r="43" spans="1:33" x14ac:dyDescent="0.2">
      <c r="A43" s="777">
        <f ca="1">SUM(C43:AA43)</f>
        <v>11639884.058844797</v>
      </c>
      <c r="B43" s="778" t="s">
        <v>1286</v>
      </c>
      <c r="C43" s="779">
        <f ca="1">IF(C$3&gt;'Resultados_Tarifa e TIR'!$B$12,"",SUM(C14,C38,C42))</f>
        <v>794820.0039229868</v>
      </c>
      <c r="D43" s="779">
        <f ca="1">IF(D$3&gt;'Resultados_Tarifa e TIR'!$B$12,"",SUM(D14,D38,D42))</f>
        <v>794820.00392298715</v>
      </c>
      <c r="E43" s="779">
        <f ca="1">IF(E$3&gt;'Resultados_Tarifa e TIR'!$B$12,"",SUM(E14,E38,E42))</f>
        <v>772524.00392298657</v>
      </c>
      <c r="F43" s="779">
        <f ca="1">IF(F$3&gt;'Resultados_Tarifa e TIR'!$B$12,"",SUM(F14,F38,F42))</f>
        <v>772524.00392298645</v>
      </c>
      <c r="G43" s="779">
        <f ca="1">IF(G$3&gt;'Resultados_Tarifa e TIR'!$B$12,"",SUM(G14,G38,G42))</f>
        <v>765092.0039229868</v>
      </c>
      <c r="H43" s="779">
        <f ca="1">IF(H$3&gt;'Resultados_Tarifa e TIR'!$B$12,"",SUM(H14,H38,H42))</f>
        <v>794820.00392298657</v>
      </c>
      <c r="I43" s="779">
        <f ca="1">IF(I$3&gt;'Resultados_Tarifa e TIR'!$B$12,"",SUM(I14,I38,I42))</f>
        <v>750228.0039229868</v>
      </c>
      <c r="J43" s="779">
        <f ca="1">IF(J$3&gt;'Resultados_Tarifa e TIR'!$B$12,"",SUM(J14,J38,J42))</f>
        <v>802252.00392298633</v>
      </c>
      <c r="K43" s="779">
        <f ca="1">IF(K$3&gt;'Resultados_Tarifa e TIR'!$B$12,"",SUM(K14,K38,K42))</f>
        <v>779956.00392298715</v>
      </c>
      <c r="L43" s="779">
        <f ca="1">IF(L$3&gt;'Resultados_Tarifa e TIR'!$B$12,"",SUM(L14,L38,L42))</f>
        <v>757660.00392298703</v>
      </c>
      <c r="M43" s="779">
        <f ca="1">IF(M$3&gt;'Resultados_Tarifa e TIR'!$B$12,"",SUM(M14,M38,M42))</f>
        <v>772524.00392298633</v>
      </c>
      <c r="N43" s="779">
        <f ca="1">IF(N$3&gt;'Resultados_Tarifa e TIR'!$B$12,"",SUM(N14,N38,N42))</f>
        <v>772524.00392298657</v>
      </c>
      <c r="O43" s="779">
        <f ca="1">IF(O$3&gt;'Resultados_Tarifa e TIR'!$B$12,"",SUM(O14,O38,O42))</f>
        <v>735364.00392298633</v>
      </c>
      <c r="P43" s="779">
        <f ca="1">IF(P$3&gt;'Resultados_Tarifa e TIR'!$B$12,"",SUM(P14,P38,P42))</f>
        <v>817116.0039229868</v>
      </c>
      <c r="Q43" s="779">
        <f ca="1">IF(Q$3&gt;'Resultados_Tarifa e TIR'!$B$12,"",SUM(Q14,Q38,Q42))</f>
        <v>757660.00392298703</v>
      </c>
      <c r="R43" s="779" t="str">
        <f>IF(R$3&gt;'Resultados_Tarifa e TIR'!$B$12,"",SUM(R14,R38,R42))</f>
        <v/>
      </c>
      <c r="S43" s="779" t="str">
        <f>IF(S$3&gt;'Resultados_Tarifa e TIR'!$B$12,"",SUM(S14,S38,S42))</f>
        <v/>
      </c>
      <c r="T43" s="779" t="str">
        <f>IF(T$3&gt;'Resultados_Tarifa e TIR'!$B$12,"",SUM(T14,T38,T42))</f>
        <v/>
      </c>
      <c r="U43" s="779" t="str">
        <f>IF(U$3&gt;'Resultados_Tarifa e TIR'!$B$12,"",SUM(U14,U38,U42))</f>
        <v/>
      </c>
      <c r="V43" s="779" t="str">
        <f>IF(V$3&gt;'Resultados_Tarifa e TIR'!$B$12,"",SUM(V14,V38,V42))</f>
        <v/>
      </c>
      <c r="W43" s="779" t="str">
        <f>IF(W$3&gt;'Resultados_Tarifa e TIR'!$B$12,"",SUM(W14,W38,W42))</f>
        <v/>
      </c>
      <c r="X43" s="779" t="str">
        <f>IF(X$3&gt;'Resultados_Tarifa e TIR'!$B$12,"",SUM(X14,X38,X42))</f>
        <v/>
      </c>
      <c r="Y43" s="779" t="str">
        <f>IF(Y$3&gt;'Resultados_Tarifa e TIR'!$B$12,"",SUM(Y14,Y38,Y42))</f>
        <v/>
      </c>
      <c r="Z43" s="779" t="str">
        <f>IF(Z$3&gt;'Resultados_Tarifa e TIR'!$B$12,"",SUM(Z14,Z38,Z42))</f>
        <v/>
      </c>
      <c r="AA43" s="779" t="str">
        <f>IF(AA$3&gt;'Resultados_Tarifa e TIR'!$B$12,"",SUM(AA14,AA38,AA42))</f>
        <v/>
      </c>
      <c r="AG43" s="682"/>
    </row>
    <row r="44" spans="1:33" x14ac:dyDescent="0.2">
      <c r="A44" s="780">
        <f ca="1">A43/A14</f>
        <v>0.15929919686223351</v>
      </c>
      <c r="B44" s="781" t="s">
        <v>1287</v>
      </c>
      <c r="C44" s="782">
        <f ca="1">IF(C$3&gt;'Resultados_Tarifa e TIR'!$B$12,"",C43/C14)</f>
        <v>0.16316423896691498</v>
      </c>
      <c r="D44" s="782">
        <f ca="1">IF(D$3&gt;'Resultados_Tarifa e TIR'!$B$12,"",D43/D14)</f>
        <v>0.16316423896691504</v>
      </c>
      <c r="E44" s="782">
        <f ca="1">IF(E$3&gt;'Resultados_Tarifa e TIR'!$B$12,"",E43/E14)</f>
        <v>0.15858721542189752</v>
      </c>
      <c r="F44" s="782">
        <f ca="1">IF(F$3&gt;'Resultados_Tarifa e TIR'!$B$12,"",F43/F14)</f>
        <v>0.15858721542189749</v>
      </c>
      <c r="G44" s="782">
        <f ca="1">IF(G$3&gt;'Resultados_Tarifa e TIR'!$B$12,"",G43/G14)</f>
        <v>0.15706154090689176</v>
      </c>
      <c r="H44" s="782">
        <f ca="1">IF(H$3&gt;'Resultados_Tarifa e TIR'!$B$12,"",H43/H14)</f>
        <v>0.16316423896691493</v>
      </c>
      <c r="I44" s="782">
        <f ca="1">IF(I$3&gt;'Resultados_Tarifa e TIR'!$B$12,"",I43/I14)</f>
        <v>0.15401019187688017</v>
      </c>
      <c r="J44" s="782">
        <f ca="1">IF(J$3&gt;'Resultados_Tarifa e TIR'!$B$12,"",J43/J14)</f>
        <v>0.16468991348192069</v>
      </c>
      <c r="K44" s="782">
        <f ca="1">IF(K$3&gt;'Resultados_Tarifa e TIR'!$B$12,"",K43/K14)</f>
        <v>0.16011288993690345</v>
      </c>
      <c r="L44" s="782">
        <f ca="1">IF(L$3&gt;'Resultados_Tarifa e TIR'!$B$12,"",L43/L14)</f>
        <v>0.15553586639188602</v>
      </c>
      <c r="M44" s="782">
        <f ca="1">IF(M$3&gt;'Resultados_Tarifa e TIR'!$B$12,"",M43/M14)</f>
        <v>0.15858721542189747</v>
      </c>
      <c r="N44" s="782">
        <f ca="1">IF(N$3&gt;'Resultados_Tarifa e TIR'!$B$12,"",N43/N14)</f>
        <v>0.15858721542189752</v>
      </c>
      <c r="O44" s="782">
        <f ca="1">IF(O$3&gt;'Resultados_Tarifa e TIR'!$B$12,"",O43/O14)</f>
        <v>0.15095884284686847</v>
      </c>
      <c r="P44" s="782">
        <f ca="1">IF(P$3&gt;'Resultados_Tarifa e TIR'!$B$12,"",P43/P14)</f>
        <v>0.16774126251193239</v>
      </c>
      <c r="Q44" s="782">
        <f ca="1">IF(Q$3&gt;'Resultados_Tarifa e TIR'!$B$12,"",Q43/Q14)</f>
        <v>0.15553586639188602</v>
      </c>
      <c r="R44" s="782" t="str">
        <f>IF(R$3&gt;'Resultados_Tarifa e TIR'!$B$12,"",R43/R14)</f>
        <v/>
      </c>
      <c r="S44" s="782" t="str">
        <f>IF(S$3&gt;'Resultados_Tarifa e TIR'!$B$12,"",S43/S14)</f>
        <v/>
      </c>
      <c r="T44" s="782" t="str">
        <f>IF(T$3&gt;'Resultados_Tarifa e TIR'!$B$12,"",T43/T14)</f>
        <v/>
      </c>
      <c r="U44" s="782" t="str">
        <f>IF(U$3&gt;'Resultados_Tarifa e TIR'!$B$12,"",U43/U14)</f>
        <v/>
      </c>
      <c r="V44" s="782" t="str">
        <f>IF(V$3&gt;'Resultados_Tarifa e TIR'!$B$12,"",V43/V14)</f>
        <v/>
      </c>
      <c r="W44" s="782" t="str">
        <f>IF(W$3&gt;'Resultados_Tarifa e TIR'!$B$12,"",W43/W14)</f>
        <v/>
      </c>
      <c r="X44" s="782" t="str">
        <f>IF(X$3&gt;'Resultados_Tarifa e TIR'!$B$12,"",X43/X14)</f>
        <v/>
      </c>
      <c r="Y44" s="782" t="str">
        <f>IF(Y$3&gt;'Resultados_Tarifa e TIR'!$B$12,"",Y43/Y14)</f>
        <v/>
      </c>
      <c r="Z44" s="782" t="str">
        <f>IF(Z$3&gt;'Resultados_Tarifa e TIR'!$B$12,"",Z43/Z14)</f>
        <v/>
      </c>
      <c r="AA44" s="782" t="str">
        <f>IF(AA$3&gt;'Resultados_Tarifa e TIR'!$B$12,"",AA43/AA14)</f>
        <v/>
      </c>
      <c r="AG44" s="682"/>
    </row>
    <row r="45" spans="1:33" x14ac:dyDescent="0.2">
      <c r="A45" s="783">
        <f t="shared" ref="A45:A50" ca="1" si="1">SUM(C45:AA45)</f>
        <v>5756278.611135711</v>
      </c>
      <c r="B45" s="784" t="s">
        <v>1288</v>
      </c>
      <c r="C45" s="785">
        <f ca="1">IF(C$3&gt;'Resultados_Tarifa e TIR'!$B$12,"",C40)</f>
        <v>314016.46226965357</v>
      </c>
      <c r="D45" s="785">
        <f ca="1">IF(D$3&gt;'Resultados_Tarifa e TIR'!$B$12,"",D40)</f>
        <v>445664.43026965391</v>
      </c>
      <c r="E45" s="785">
        <f ca="1">IF(E$3&gt;'Resultados_Tarifa e TIR'!$B$12,"",E40)</f>
        <v>327624.45354238059</v>
      </c>
      <c r="F45" s="785">
        <f ca="1">IF(F$3&gt;'Resultados_Tarifa e TIR'!$B$12,"",F40)</f>
        <v>447304.42445147131</v>
      </c>
      <c r="G45" s="785">
        <f ca="1">IF(G$3&gt;'Resultados_Tarifa e TIR'!$B$12,"",G40)</f>
        <v>344128.44772419892</v>
      </c>
      <c r="H45" s="785">
        <f ca="1">IF(H$3&gt;'Resultados_Tarifa e TIR'!$B$12,"",H40)</f>
        <v>433696.43317874428</v>
      </c>
      <c r="I45" s="785">
        <f ca="1">IF(I$3&gt;'Resultados_Tarifa e TIR'!$B$12,"",I40)</f>
        <v>353200.44190601725</v>
      </c>
      <c r="J45" s="785">
        <f ca="1">IF(J$3&gt;'Resultados_Tarifa e TIR'!$B$12,"",J40)</f>
        <v>393256.44481510762</v>
      </c>
      <c r="K45" s="785">
        <f ca="1">IF(K$3&gt;'Resultados_Tarifa e TIR'!$B$12,"",K40)</f>
        <v>347024.45063329022</v>
      </c>
      <c r="L45" s="785">
        <f ca="1">IF(L$3&gt;'Resultados_Tarifa e TIR'!$B$12,"",L40)</f>
        <v>444408.42154238094</v>
      </c>
      <c r="M45" s="785">
        <f ca="1">IF(M$3&gt;'Resultados_Tarifa e TIR'!$B$12,"",M40)</f>
        <v>363528.44481510762</v>
      </c>
      <c r="N45" s="785">
        <f ca="1">IF(N$3&gt;'Resultados_Tarifa e TIR'!$B$12,"",N40)</f>
        <v>411400.43317874428</v>
      </c>
      <c r="O45" s="785">
        <f ca="1">IF(O$3&gt;'Resultados_Tarifa e TIR'!$B$12,"",O40)</f>
        <v>410144.42445147131</v>
      </c>
      <c r="P45" s="785">
        <f ca="1">IF(P$3&gt;'Resultados_Tarifa e TIR'!$B$12,"",P40)</f>
        <v>336312.46226965357</v>
      </c>
      <c r="Q45" s="785">
        <f ca="1">IF(Q$3&gt;'Resultados_Tarifa e TIR'!$B$12,"",Q40)</f>
        <v>384568.43608783558</v>
      </c>
      <c r="R45" s="785" t="str">
        <f>IF(R$3&gt;'Resultados_Tarifa e TIR'!$B$12,"",R40)</f>
        <v/>
      </c>
      <c r="S45" s="785" t="str">
        <f>IF(S$3&gt;'Resultados_Tarifa e TIR'!$B$12,"",S40)</f>
        <v/>
      </c>
      <c r="T45" s="785" t="str">
        <f>IF(T$3&gt;'Resultados_Tarifa e TIR'!$B$12,"",T40)</f>
        <v/>
      </c>
      <c r="U45" s="785" t="str">
        <f>IF(U$3&gt;'Resultados_Tarifa e TIR'!$B$12,"",U40)</f>
        <v/>
      </c>
      <c r="V45" s="785" t="str">
        <f>IF(V$3&gt;'Resultados_Tarifa e TIR'!$B$12,"",V40)</f>
        <v/>
      </c>
      <c r="W45" s="785" t="str">
        <f>IF(W$3&gt;'Resultados_Tarifa e TIR'!$B$12,"",W40)</f>
        <v/>
      </c>
      <c r="X45" s="785" t="str">
        <f>IF(X$3&gt;'Resultados_Tarifa e TIR'!$B$12,"",X40)</f>
        <v/>
      </c>
      <c r="Y45" s="785" t="str">
        <f>IF(Y$3&gt;'Resultados_Tarifa e TIR'!$B$12,"",Y40)</f>
        <v/>
      </c>
      <c r="Z45" s="785" t="str">
        <f>IF(Z$3&gt;'Resultados_Tarifa e TIR'!$B$12,"",Z40)</f>
        <v/>
      </c>
      <c r="AA45" s="785" t="str">
        <f>IF(AA$3&gt;'Resultados_Tarifa e TIR'!$B$12,"",AA40)</f>
        <v/>
      </c>
      <c r="AG45" s="682"/>
    </row>
    <row r="46" spans="1:33" s="768" customFormat="1" x14ac:dyDescent="0.2">
      <c r="A46" s="765">
        <f t="shared" ca="1" si="1"/>
        <v>1597134.7277861419</v>
      </c>
      <c r="B46" s="786" t="s">
        <v>1289</v>
      </c>
      <c r="C46" s="770">
        <f ca="1">IF(C$3&gt;'Resultados_Tarifa e TIR'!$B$12,"",SUM(C47:C49))</f>
        <v>82765.59717168221</v>
      </c>
      <c r="D46" s="770">
        <f ca="1">IF(D$3&gt;'Resultados_Tarifa e TIR'!$B$12,"",SUM(D47:D49))</f>
        <v>127525.90629168233</v>
      </c>
      <c r="E46" s="770">
        <f ca="1">IF(E$3&gt;'Resultados_Tarifa e TIR'!$B$12,"",SUM(E47:E49))</f>
        <v>87392.314204409398</v>
      </c>
      <c r="F46" s="770">
        <f ca="1">IF(F$3&gt;'Resultados_Tarifa e TIR'!$B$12,"",SUM(F47:F49))</f>
        <v>128083.50431350025</v>
      </c>
      <c r="G46" s="770">
        <f ca="1">IF(G$3&gt;'Resultados_Tarifa e TIR'!$B$12,"",SUM(G47:G49))</f>
        <v>93003.672226227631</v>
      </c>
      <c r="H46" s="770">
        <f ca="1">IF(H$3&gt;'Resultados_Tarifa e TIR'!$B$12,"",SUM(H47:H49))</f>
        <v>123456.78728077305</v>
      </c>
      <c r="I46" s="770">
        <f ca="1">IF(I$3&gt;'Resultados_Tarifa e TIR'!$B$12,"",SUM(I47:I49))</f>
        <v>96088.150248045858</v>
      </c>
      <c r="J46" s="770">
        <f ca="1">IF(J$3&gt;'Resultados_Tarifa e TIR'!$B$12,"",SUM(J47:J49))</f>
        <v>109707.19123713659</v>
      </c>
      <c r="K46" s="770">
        <f ca="1">IF(K$3&gt;'Resultados_Tarifa e TIR'!$B$12,"",SUM(K47:K49))</f>
        <v>93988.313215318674</v>
      </c>
      <c r="L46" s="770">
        <f ca="1">IF(L$3&gt;'Resultados_Tarifa e TIR'!$B$12,"",SUM(L47:L49))</f>
        <v>127098.86332440953</v>
      </c>
      <c r="M46" s="770">
        <f ca="1">IF(M$3&gt;'Resultados_Tarifa e TIR'!$B$12,"",SUM(M47:M49))</f>
        <v>99599.671237136587</v>
      </c>
      <c r="N46" s="770">
        <f ca="1">IF(N$3&gt;'Resultados_Tarifa e TIR'!$B$12,"",SUM(N47:N49))</f>
        <v>115876.14728077306</v>
      </c>
      <c r="O46" s="770">
        <f ca="1">IF(O$3&gt;'Resultados_Tarifa e TIR'!$B$12,"",SUM(O47:O49))</f>
        <v>115449.10431350024</v>
      </c>
      <c r="P46" s="770">
        <f ca="1">IF(P$3&gt;'Resultados_Tarifa e TIR'!$B$12,"",SUM(P47:P49))</f>
        <v>90346.237171682209</v>
      </c>
      <c r="Q46" s="770">
        <f ca="1">IF(Q$3&gt;'Resultados_Tarifa e TIR'!$B$12,"",SUM(Q47:Q49))</f>
        <v>106753.26826986409</v>
      </c>
      <c r="R46" s="770" t="str">
        <f>IF(R$3&gt;'Resultados_Tarifa e TIR'!$B$12,"",SUM(R47:R49))</f>
        <v/>
      </c>
      <c r="S46" s="770" t="str">
        <f>IF(S$3&gt;'Resultados_Tarifa e TIR'!$B$12,"",SUM(S47:S49))</f>
        <v/>
      </c>
      <c r="T46" s="770" t="str">
        <f>IF(T$3&gt;'Resultados_Tarifa e TIR'!$B$12,"",SUM(T47:T49))</f>
        <v/>
      </c>
      <c r="U46" s="770" t="str">
        <f>IF(U$3&gt;'Resultados_Tarifa e TIR'!$B$12,"",SUM(U47:U49))</f>
        <v/>
      </c>
      <c r="V46" s="770" t="str">
        <f>IF(V$3&gt;'Resultados_Tarifa e TIR'!$B$12,"",SUM(V47:V49))</f>
        <v/>
      </c>
      <c r="W46" s="770" t="str">
        <f>IF(W$3&gt;'Resultados_Tarifa e TIR'!$B$12,"",SUM(W47:W49))</f>
        <v/>
      </c>
      <c r="X46" s="770" t="str">
        <f>IF(X$3&gt;'Resultados_Tarifa e TIR'!$B$12,"",SUM(X47:X49))</f>
        <v/>
      </c>
      <c r="Y46" s="770" t="str">
        <f>IF(Y$3&gt;'Resultados_Tarifa e TIR'!$B$12,"",SUM(Y47:Y49))</f>
        <v/>
      </c>
      <c r="Z46" s="770" t="str">
        <f>IF(Z$3&gt;'Resultados_Tarifa e TIR'!$B$12,"",SUM(Z47:Z49))</f>
        <v/>
      </c>
      <c r="AA46" s="770" t="str">
        <f>IF(AA$3&gt;'Resultados_Tarifa e TIR'!$B$12,"",SUM(AA47:AA49))</f>
        <v/>
      </c>
      <c r="AG46" s="682"/>
    </row>
    <row r="47" spans="1:33" x14ac:dyDescent="0.2">
      <c r="A47" s="771">
        <f t="shared" ca="1" si="1"/>
        <v>863441.79167035664</v>
      </c>
      <c r="B47" s="787" t="s">
        <v>1290</v>
      </c>
      <c r="C47" s="772">
        <f ca="1">IF(C$3&gt;'Resultados_Tarifa e TIR'!$B$12,"",IF(C$45&lt;0,0,ABS(C$45)*FC_Premissas!D24))</f>
        <v>47102.469340448035</v>
      </c>
      <c r="D47" s="772">
        <f ca="1">IF(D$3&gt;'Resultados_Tarifa e TIR'!$B$12,"",IF(D$45&lt;0,0,ABS(D$45)*FC_Premissas!E24))</f>
        <v>66849.664540448081</v>
      </c>
      <c r="E47" s="772">
        <f ca="1">IF(E$3&gt;'Resultados_Tarifa e TIR'!$B$12,"",IF(E$45&lt;0,0,ABS(E$45)*FC_Premissas!F24))</f>
        <v>49143.668031357091</v>
      </c>
      <c r="F47" s="772">
        <f ca="1">IF(F$3&gt;'Resultados_Tarifa e TIR'!$B$12,"",IF(F$45&lt;0,0,ABS(F$45)*FC_Premissas!G24))</f>
        <v>67095.663667720699</v>
      </c>
      <c r="G47" s="772">
        <f ca="1">IF(G$3&gt;'Resultados_Tarifa e TIR'!$B$12,"",IF(G$45&lt;0,0,ABS(G$45)*FC_Premissas!H24))</f>
        <v>51619.267158629838</v>
      </c>
      <c r="H47" s="772">
        <f ca="1">IF(H$3&gt;'Resultados_Tarifa e TIR'!$B$12,"",IF(H$45&lt;0,0,ABS(H$45)*FC_Premissas!I24))</f>
        <v>65054.464976811636</v>
      </c>
      <c r="I47" s="772">
        <f ca="1">IF(I$3&gt;'Resultados_Tarifa e TIR'!$B$12,"",IF(I$45&lt;0,0,ABS(I$45)*FC_Premissas!J24))</f>
        <v>52980.066285902583</v>
      </c>
      <c r="J47" s="772">
        <f ca="1">IF(J$3&gt;'Resultados_Tarifa e TIR'!$B$12,"",IF(J$45&lt;0,0,ABS(J$45)*FC_Premissas!K24))</f>
        <v>58988.466722266137</v>
      </c>
      <c r="K47" s="772">
        <f ca="1">IF(K$3&gt;'Resultados_Tarifa e TIR'!$B$12,"",IF(K$45&lt;0,0,ABS(K$45)*FC_Premissas!L24))</f>
        <v>52053.667594993531</v>
      </c>
      <c r="L47" s="772">
        <f ca="1">IF(L$3&gt;'Resultados_Tarifa e TIR'!$B$12,"",IF(L$45&lt;0,0,ABS(L$45)*FC_Premissas!M24))</f>
        <v>66661.263231357138</v>
      </c>
      <c r="M47" s="772">
        <f ca="1">IF(M$3&gt;'Resultados_Tarifa e TIR'!$B$12,"",IF(M$45&lt;0,0,ABS(M$45)*FC_Premissas!N24))</f>
        <v>54529.26672226614</v>
      </c>
      <c r="N47" s="772">
        <f ca="1">IF(N$3&gt;'Resultados_Tarifa e TIR'!$B$12,"",IF(N$45&lt;0,0,ABS(N$45)*FC_Premissas!O24))</f>
        <v>61710.064976811642</v>
      </c>
      <c r="O47" s="772">
        <f ca="1">IF(O$3&gt;'Resultados_Tarifa e TIR'!$B$12,"",IF(O$45&lt;0,0,ABS(O$45)*FC_Premissas!P24))</f>
        <v>61521.663667720692</v>
      </c>
      <c r="P47" s="772">
        <f ca="1">IF(P$3&gt;'Resultados_Tarifa e TIR'!$B$12,"",IF(P$45&lt;0,0,ABS(P$45)*FC_Premissas!Q24))</f>
        <v>50446.869340448036</v>
      </c>
      <c r="Q47" s="772">
        <f ca="1">IF(Q$3&gt;'Resultados_Tarifa e TIR'!$B$12,"",IF(Q$45&lt;0,0,ABS(Q$45)*FC_Premissas!R24))</f>
        <v>57685.265413175337</v>
      </c>
      <c r="R47" s="772" t="str">
        <f>IF(R$3&gt;'Resultados_Tarifa e TIR'!$B$12,"",IF(R$45&lt;0,0,ABS(R$45)*FC_Premissas!S24))</f>
        <v/>
      </c>
      <c r="S47" s="772" t="str">
        <f>IF(S$3&gt;'Resultados_Tarifa e TIR'!$B$12,"",IF(S$45&lt;0,0,ABS(S$45)*FC_Premissas!T24))</f>
        <v/>
      </c>
      <c r="T47" s="772" t="str">
        <f>IF(T$3&gt;'Resultados_Tarifa e TIR'!$B$12,"",IF(T$45&lt;0,0,ABS(T$45)*FC_Premissas!U24))</f>
        <v/>
      </c>
      <c r="U47" s="772" t="str">
        <f>IF(U$3&gt;'Resultados_Tarifa e TIR'!$B$12,"",IF(U$45&lt;0,0,ABS(U$45)*FC_Premissas!V24))</f>
        <v/>
      </c>
      <c r="V47" s="772" t="str">
        <f>IF(V$3&gt;'Resultados_Tarifa e TIR'!$B$12,"",IF(V$45&lt;0,0,ABS(V$45)*FC_Premissas!W24))</f>
        <v/>
      </c>
      <c r="W47" s="772" t="str">
        <f>IF(W$3&gt;'Resultados_Tarifa e TIR'!$B$12,"",IF(W$45&lt;0,0,ABS(W$45)*FC_Premissas!X24))</f>
        <v/>
      </c>
      <c r="X47" s="772" t="str">
        <f>IF(X$3&gt;'Resultados_Tarifa e TIR'!$B$12,"",IF(X$45&lt;0,0,ABS(X$45)*FC_Premissas!Y24))</f>
        <v/>
      </c>
      <c r="Y47" s="772" t="str">
        <f>IF(Y$3&gt;'Resultados_Tarifa e TIR'!$B$12,"",IF(Y$45&lt;0,0,ABS(Y$45)*FC_Premissas!Z24))</f>
        <v/>
      </c>
      <c r="Z47" s="772" t="str">
        <f>IF(Z$3&gt;'Resultados_Tarifa e TIR'!$B$12,"",IF(Z$45&lt;0,0,ABS(Z$45)*FC_Premissas!AA24))</f>
        <v/>
      </c>
      <c r="AA47" s="772" t="str">
        <f>IF(AA$3&gt;'Resultados_Tarifa e TIR'!$B$12,"",IF(AA$45&lt;0,0,ABS(AA$45)*FC_Premissas!AB24))</f>
        <v/>
      </c>
      <c r="AG47" s="682"/>
    </row>
    <row r="48" spans="1:33" x14ac:dyDescent="0.2">
      <c r="A48" s="771">
        <f t="shared" ca="1" si="1"/>
        <v>215627.86111357113</v>
      </c>
      <c r="B48" s="787" t="s">
        <v>1291</v>
      </c>
      <c r="C48" s="772">
        <f ca="1">IF(C$3&gt;'Resultados_Tarifa e TIR'!$B$12,"",MAX(0,C45-240000)*FC_Premissas!D$25)</f>
        <v>7401.6462269653566</v>
      </c>
      <c r="D48" s="772">
        <f ca="1">IF(D$3&gt;'Resultados_Tarifa e TIR'!$B$12,"",MAX(0,D45-240000)*FC_Premissas!E$25)</f>
        <v>20566.443026965393</v>
      </c>
      <c r="E48" s="772">
        <f ca="1">IF(E$3&gt;'Resultados_Tarifa e TIR'!$B$12,"",MAX(0,E45-240000)*FC_Premissas!F$25)</f>
        <v>8762.4453542380597</v>
      </c>
      <c r="F48" s="772">
        <f ca="1">IF(F$3&gt;'Resultados_Tarifa e TIR'!$B$12,"",MAX(0,F45-240000)*FC_Premissas!G$25)</f>
        <v>20730.442445147131</v>
      </c>
      <c r="G48" s="772">
        <f ca="1">IF(G$3&gt;'Resultados_Tarifa e TIR'!$B$12,"",MAX(0,G45-240000)*FC_Premissas!H$25)</f>
        <v>10412.844772419892</v>
      </c>
      <c r="H48" s="772">
        <f ca="1">IF(H$3&gt;'Resultados_Tarifa e TIR'!$B$12,"",MAX(0,H45-240000)*FC_Premissas!I$25)</f>
        <v>19369.64331787443</v>
      </c>
      <c r="I48" s="772">
        <f ca="1">IF(I$3&gt;'Resultados_Tarifa e TIR'!$B$12,"",MAX(0,I45-240000)*FC_Premissas!J$25)</f>
        <v>11320.044190601726</v>
      </c>
      <c r="J48" s="772">
        <f ca="1">IF(J$3&gt;'Resultados_Tarifa e TIR'!$B$12,"",MAX(0,J45-240000)*FC_Premissas!K$25)</f>
        <v>15325.644481510762</v>
      </c>
      <c r="K48" s="772">
        <f ca="1">IF(K$3&gt;'Resultados_Tarifa e TIR'!$B$12,"",MAX(0,K45-240000)*FC_Premissas!L$25)</f>
        <v>10702.445063329023</v>
      </c>
      <c r="L48" s="772">
        <f ca="1">IF(L$3&gt;'Resultados_Tarifa e TIR'!$B$12,"",MAX(0,L45-240000)*FC_Premissas!M$25)</f>
        <v>20440.842154238097</v>
      </c>
      <c r="M48" s="772">
        <f ca="1">IF(M$3&gt;'Resultados_Tarifa e TIR'!$B$12,"",MAX(0,M45-240000)*FC_Premissas!N$25)</f>
        <v>12352.844481510763</v>
      </c>
      <c r="N48" s="772">
        <f ca="1">IF(N$3&gt;'Resultados_Tarifa e TIR'!$B$12,"",MAX(0,N45-240000)*FC_Premissas!O$25)</f>
        <v>17140.043317874428</v>
      </c>
      <c r="O48" s="772">
        <f ca="1">IF(O$3&gt;'Resultados_Tarifa e TIR'!$B$12,"",MAX(0,O45-240000)*FC_Premissas!P$25)</f>
        <v>17014.442445147131</v>
      </c>
      <c r="P48" s="772">
        <f ca="1">IF(P$3&gt;'Resultados_Tarifa e TIR'!$B$12,"",MAX(0,P45-240000)*FC_Premissas!Q$25)</f>
        <v>9631.246226965357</v>
      </c>
      <c r="Q48" s="772">
        <f ca="1">IF(Q$3&gt;'Resultados_Tarifa e TIR'!$B$12,"",MAX(0,Q45-240000)*FC_Premissas!R$25)</f>
        <v>14456.843608783558</v>
      </c>
      <c r="R48" s="772" t="str">
        <f>IF(R$3&gt;'Resultados_Tarifa e TIR'!$B$12,"",MAX(0,R45-240000)*FC_Premissas!S$25)</f>
        <v/>
      </c>
      <c r="S48" s="772" t="str">
        <f>IF(S$3&gt;'Resultados_Tarifa e TIR'!$B$12,"",MAX(0,S45-240000)*FC_Premissas!T$25)</f>
        <v/>
      </c>
      <c r="T48" s="772" t="str">
        <f>IF(T$3&gt;'Resultados_Tarifa e TIR'!$B$12,"",MAX(0,T45-240000)*FC_Premissas!U$25)</f>
        <v/>
      </c>
      <c r="U48" s="772" t="str">
        <f>IF(U$3&gt;'Resultados_Tarifa e TIR'!$B$12,"",MAX(0,U45-240000)*FC_Premissas!V$25)</f>
        <v/>
      </c>
      <c r="V48" s="772" t="str">
        <f>IF(V$3&gt;'Resultados_Tarifa e TIR'!$B$12,"",MAX(0,V45-240000)*FC_Premissas!W$25)</f>
        <v/>
      </c>
      <c r="W48" s="772" t="str">
        <f>IF(W$3&gt;'Resultados_Tarifa e TIR'!$B$12,"",MAX(0,W45-240000)*FC_Premissas!X$25)</f>
        <v/>
      </c>
      <c r="X48" s="772" t="str">
        <f>IF(X$3&gt;'Resultados_Tarifa e TIR'!$B$12,"",MAX(0,X45-240000)*FC_Premissas!Y$25)</f>
        <v/>
      </c>
      <c r="Y48" s="772" t="str">
        <f>IF(Y$3&gt;'Resultados_Tarifa e TIR'!$B$12,"",MAX(0,Y45-240000)*FC_Premissas!Z$25)</f>
        <v/>
      </c>
      <c r="Z48" s="772" t="str">
        <f>IF(Z$3&gt;'Resultados_Tarifa e TIR'!$B$12,"",MAX(0,Z45-240000)*FC_Premissas!AA$25)</f>
        <v/>
      </c>
      <c r="AA48" s="772" t="str">
        <f>IF(AA$3&gt;'Resultados_Tarifa e TIR'!$B$12,"",MAX(0,AA45-240000)*FC_Premissas!AB$25)</f>
        <v/>
      </c>
      <c r="AG48" s="682"/>
    </row>
    <row r="49" spans="1:27" x14ac:dyDescent="0.2">
      <c r="A49" s="771">
        <f t="shared" ca="1" si="1"/>
        <v>518065.07500221394</v>
      </c>
      <c r="B49" s="787" t="s">
        <v>1292</v>
      </c>
      <c r="C49" s="772">
        <f ca="1">IF(C$3&gt;'Resultados_Tarifa e TIR'!$B$12,"",IF(C$45&lt;0,0,ABS(C$45)*FC_Premissas!D26))</f>
        <v>28261.481604268822</v>
      </c>
      <c r="D49" s="772">
        <f ca="1">IF(D$3&gt;'Resultados_Tarifa e TIR'!$B$12,"",IF(D$45&lt;0,0,ABS(D$45)*FC_Premissas!E26))</f>
        <v>40109.798724268847</v>
      </c>
      <c r="E49" s="772">
        <f ca="1">IF(E$3&gt;'Resultados_Tarifa e TIR'!$B$12,"",IF(E$45&lt;0,0,ABS(E$45)*FC_Premissas!F26))</f>
        <v>29486.200818814254</v>
      </c>
      <c r="F49" s="772">
        <f ca="1">IF(F$3&gt;'Resultados_Tarifa e TIR'!$B$12,"",IF(F$45&lt;0,0,ABS(F$45)*FC_Premissas!G26))</f>
        <v>40257.398200632415</v>
      </c>
      <c r="G49" s="772">
        <f ca="1">IF(G$3&gt;'Resultados_Tarifa e TIR'!$B$12,"",IF(G$45&lt;0,0,ABS(G$45)*FC_Premissas!H26))</f>
        <v>30971.5602951779</v>
      </c>
      <c r="H49" s="772">
        <f ca="1">IF(H$3&gt;'Resultados_Tarifa e TIR'!$B$12,"",IF(H$45&lt;0,0,ABS(H$45)*FC_Premissas!I26))</f>
        <v>39032.678986086983</v>
      </c>
      <c r="I49" s="772">
        <f ca="1">IF(I$3&gt;'Resultados_Tarifa e TIR'!$B$12,"",IF(I$45&lt;0,0,ABS(I$45)*FC_Premissas!J26))</f>
        <v>31788.039771541553</v>
      </c>
      <c r="J49" s="772">
        <f ca="1">IF(J$3&gt;'Resultados_Tarifa e TIR'!$B$12,"",IF(J$45&lt;0,0,ABS(J$45)*FC_Premissas!K26))</f>
        <v>35393.080033359685</v>
      </c>
      <c r="K49" s="772">
        <f ca="1">IF(K$3&gt;'Resultados_Tarifa e TIR'!$B$12,"",IF(K$45&lt;0,0,ABS(K$45)*FC_Premissas!L26))</f>
        <v>31232.200556996118</v>
      </c>
      <c r="L49" s="772">
        <f ca="1">IF(L$3&gt;'Resultados_Tarifa e TIR'!$B$12,"",IF(L$45&lt;0,0,ABS(L$45)*FC_Premissas!M26))</f>
        <v>39996.757938814284</v>
      </c>
      <c r="M49" s="772">
        <f ca="1">IF(M$3&gt;'Resultados_Tarifa e TIR'!$B$12,"",IF(M$45&lt;0,0,ABS(M$45)*FC_Premissas!N26))</f>
        <v>32717.560033359685</v>
      </c>
      <c r="N49" s="772">
        <f ca="1">IF(N$3&gt;'Resultados_Tarifa e TIR'!$B$12,"",IF(N$45&lt;0,0,ABS(N$45)*FC_Premissas!O26))</f>
        <v>37026.038986086984</v>
      </c>
      <c r="O49" s="772">
        <f ca="1">IF(O$3&gt;'Resultados_Tarifa e TIR'!$B$12,"",IF(O$45&lt;0,0,ABS(O$45)*FC_Premissas!P26))</f>
        <v>36912.998200632413</v>
      </c>
      <c r="P49" s="772">
        <f ca="1">IF(P$3&gt;'Resultados_Tarifa e TIR'!$B$12,"",IF(P$45&lt;0,0,ABS(P$45)*FC_Premissas!Q26))</f>
        <v>30268.121604268821</v>
      </c>
      <c r="Q49" s="772">
        <f ca="1">IF(Q$3&gt;'Resultados_Tarifa e TIR'!$B$12,"",IF(Q$45&lt;0,0,ABS(Q$45)*FC_Premissas!R26))</f>
        <v>34611.159247905198</v>
      </c>
      <c r="R49" s="772" t="str">
        <f>IF(R$3&gt;'Resultados_Tarifa e TIR'!$B$12,"",IF(R$45&lt;0,0,ABS(R$45)*FC_Premissas!S26))</f>
        <v/>
      </c>
      <c r="S49" s="772" t="str">
        <f>IF(S$3&gt;'Resultados_Tarifa e TIR'!$B$12,"",IF(S$45&lt;0,0,ABS(S$45)*FC_Premissas!T26))</f>
        <v/>
      </c>
      <c r="T49" s="772" t="str">
        <f>IF(T$3&gt;'Resultados_Tarifa e TIR'!$B$12,"",IF(T$45&lt;0,0,ABS(T$45)*FC_Premissas!U26))</f>
        <v/>
      </c>
      <c r="U49" s="772" t="str">
        <f>IF(U$3&gt;'Resultados_Tarifa e TIR'!$B$12,"",IF(U$45&lt;0,0,ABS(U$45)*FC_Premissas!V26))</f>
        <v/>
      </c>
      <c r="V49" s="772" t="str">
        <f>IF(V$3&gt;'Resultados_Tarifa e TIR'!$B$12,"",IF(V$45&lt;0,0,ABS(V$45)*FC_Premissas!W26))</f>
        <v/>
      </c>
      <c r="W49" s="772" t="str">
        <f>IF(W$3&gt;'Resultados_Tarifa e TIR'!$B$12,"",IF(W$45&lt;0,0,ABS(W$45)*FC_Premissas!X26))</f>
        <v/>
      </c>
      <c r="X49" s="772" t="str">
        <f>IF(X$3&gt;'Resultados_Tarifa e TIR'!$B$12,"",IF(X$45&lt;0,0,ABS(X$45)*FC_Premissas!Y26))</f>
        <v/>
      </c>
      <c r="Y49" s="772" t="str">
        <f>IF(Y$3&gt;'Resultados_Tarifa e TIR'!$B$12,"",IF(Y$45&lt;0,0,ABS(Y$45)*FC_Premissas!Z26))</f>
        <v/>
      </c>
      <c r="Z49" s="772" t="str">
        <f>IF(Z$3&gt;'Resultados_Tarifa e TIR'!$B$12,"",IF(Z$45&lt;0,0,ABS(Z$45)*FC_Premissas!AA26))</f>
        <v/>
      </c>
      <c r="AA49" s="772" t="str">
        <f>IF(AA$3&gt;'Resultados_Tarifa e TIR'!$B$12,"",IF(AA$45&lt;0,0,ABS(AA$45)*FC_Premissas!AB26))</f>
        <v/>
      </c>
    </row>
    <row r="50" spans="1:27" x14ac:dyDescent="0.2">
      <c r="A50" s="773">
        <f t="shared" ca="1" si="1"/>
        <v>4159143.88334957</v>
      </c>
      <c r="B50" s="774" t="s">
        <v>1293</v>
      </c>
      <c r="C50" s="775">
        <f ca="1">IF(C$3&gt;'Resultados_Tarifa e TIR'!$B$12,"",SUM(C45,-ABS(C46)))</f>
        <v>231250.86509797134</v>
      </c>
      <c r="D50" s="775">
        <f ca="1">IF(D$3&gt;'Resultados_Tarifa e TIR'!$B$12,"",SUM(D45,-ABS(D46)))</f>
        <v>318138.52397797158</v>
      </c>
      <c r="E50" s="775">
        <f ca="1">IF(E$3&gt;'Resultados_Tarifa e TIR'!$B$12,"",SUM(E45,-ABS(E46)))</f>
        <v>240232.1393379712</v>
      </c>
      <c r="F50" s="775">
        <f ca="1">IF(F$3&gt;'Resultados_Tarifa e TIR'!$B$12,"",SUM(F45,-ABS(F46)))</f>
        <v>319220.92013797106</v>
      </c>
      <c r="G50" s="775">
        <f ca="1">IF(G$3&gt;'Resultados_Tarifa e TIR'!$B$12,"",SUM(G45,-ABS(G46)))</f>
        <v>251124.77549797128</v>
      </c>
      <c r="H50" s="775">
        <f ca="1">IF(H$3&gt;'Resultados_Tarifa e TIR'!$B$12,"",SUM(H45,-ABS(H46)))</f>
        <v>310239.64589797123</v>
      </c>
      <c r="I50" s="775">
        <f ca="1">IF(I$3&gt;'Resultados_Tarifa e TIR'!$B$12,"",SUM(I45,-ABS(I46)))</f>
        <v>257112.29165797139</v>
      </c>
      <c r="J50" s="775">
        <f ca="1">IF(J$3&gt;'Resultados_Tarifa e TIR'!$B$12,"",SUM(J45,-ABS(J46)))</f>
        <v>283549.25357797102</v>
      </c>
      <c r="K50" s="775">
        <f ca="1">IF(K$3&gt;'Resultados_Tarifa e TIR'!$B$12,"",SUM(K45,-ABS(K46)))</f>
        <v>253036.13741797156</v>
      </c>
      <c r="L50" s="775">
        <f ca="1">IF(L$3&gt;'Resultados_Tarifa e TIR'!$B$12,"",SUM(L45,-ABS(L46)))</f>
        <v>317309.55821797141</v>
      </c>
      <c r="M50" s="775">
        <f ca="1">IF(M$3&gt;'Resultados_Tarifa e TIR'!$B$12,"",SUM(M45,-ABS(M46)))</f>
        <v>263928.77357797103</v>
      </c>
      <c r="N50" s="775">
        <f ca="1">IF(N$3&gt;'Resultados_Tarifa e TIR'!$B$12,"",SUM(N45,-ABS(N46)))</f>
        <v>295524.28589797125</v>
      </c>
      <c r="O50" s="775">
        <f ca="1">IF(O$3&gt;'Resultados_Tarifa e TIR'!$B$12,"",SUM(O45,-ABS(O46)))</f>
        <v>294695.32013797108</v>
      </c>
      <c r="P50" s="775">
        <f ca="1">IF(P$3&gt;'Resultados_Tarifa e TIR'!$B$12,"",SUM(P45,-ABS(P46)))</f>
        <v>245966.22509797136</v>
      </c>
      <c r="Q50" s="775">
        <f ca="1">IF(Q$3&gt;'Resultados_Tarifa e TIR'!$B$12,"",SUM(Q45,-ABS(Q46)))</f>
        <v>277815.16781797149</v>
      </c>
      <c r="R50" s="775" t="str">
        <f>IF(R$3&gt;'Resultados_Tarifa e TIR'!$B$12,"",SUM(R45,-ABS(R46)))</f>
        <v/>
      </c>
      <c r="S50" s="775" t="str">
        <f>IF(S$3&gt;'Resultados_Tarifa e TIR'!$B$12,"",SUM(S45,-ABS(S46)))</f>
        <v/>
      </c>
      <c r="T50" s="775" t="str">
        <f>IF(T$3&gt;'Resultados_Tarifa e TIR'!$B$12,"",SUM(T45,-ABS(T46)))</f>
        <v/>
      </c>
      <c r="U50" s="775" t="str">
        <f>IF(U$3&gt;'Resultados_Tarifa e TIR'!$B$12,"",SUM(U45,-ABS(U46)))</f>
        <v/>
      </c>
      <c r="V50" s="775" t="str">
        <f>IF(V$3&gt;'Resultados_Tarifa e TIR'!$B$12,"",SUM(V45,-ABS(V46)))</f>
        <v/>
      </c>
      <c r="W50" s="775" t="str">
        <f>IF(W$3&gt;'Resultados_Tarifa e TIR'!$B$12,"",SUM(W45,-ABS(W46)))</f>
        <v/>
      </c>
      <c r="X50" s="775" t="str">
        <f>IF(X$3&gt;'Resultados_Tarifa e TIR'!$B$12,"",SUM(X45,-ABS(X46)))</f>
        <v/>
      </c>
      <c r="Y50" s="775" t="str">
        <f>IF(Y$3&gt;'Resultados_Tarifa e TIR'!$B$12,"",SUM(Y45,-ABS(Y46)))</f>
        <v/>
      </c>
      <c r="Z50" s="775" t="str">
        <f>IF(Z$3&gt;'Resultados_Tarifa e TIR'!$B$12,"",SUM(Z45,-ABS(Z46)))</f>
        <v/>
      </c>
      <c r="AA50" s="775" t="str">
        <f>IF(AA$3&gt;'Resultados_Tarifa e TIR'!$B$12,"",SUM(AA45,-ABS(AA46)))</f>
        <v/>
      </c>
    </row>
    <row r="51" spans="1:27" x14ac:dyDescent="0.2">
      <c r="A51" s="788">
        <f ca="1">A50/A14</f>
        <v>5.6920522309550588E-2</v>
      </c>
      <c r="B51" s="789" t="s">
        <v>1294</v>
      </c>
      <c r="C51" s="790">
        <f ca="1">IF(C$3&gt;'Resultados_Tarifa e TIR'!$B$12,"",C50/C14)</f>
        <v>4.7472221670212519E-2</v>
      </c>
      <c r="D51" s="790">
        <f ca="1">IF(D$3&gt;'Resultados_Tarifa e TIR'!$B$12,"",D50/D14)</f>
        <v>6.530891257733494E-2</v>
      </c>
      <c r="E51" s="790">
        <f ca="1">IF(E$3&gt;'Resultados_Tarifa e TIR'!$B$12,"",E50/E14)</f>
        <v>4.9315938196079837E-2</v>
      </c>
      <c r="F51" s="790">
        <f ca="1">IF(F$3&gt;'Resultados_Tarifa e TIR'!$B$12,"",F50/F14)</f>
        <v>6.5531111748009241E-2</v>
      </c>
      <c r="G51" s="790">
        <f ca="1">IF(G$3&gt;'Resultados_Tarifa e TIR'!$B$12,"",G50/G14)</f>
        <v>5.1552027726561908E-2</v>
      </c>
      <c r="H51" s="790">
        <f ca="1">IF(H$3&gt;'Resultados_Tarifa e TIR'!$B$12,"",H50/H14)</f>
        <v>6.3687395222141938E-2</v>
      </c>
      <c r="I51" s="790">
        <f ca="1">IF(I$3&gt;'Resultados_Tarifa e TIR'!$B$12,"",I50/I14)</f>
        <v>5.2781172077140164E-2</v>
      </c>
      <c r="J51" s="790">
        <f ca="1">IF(J$3&gt;'Resultados_Tarifa e TIR'!$B$12,"",J50/J14)</f>
        <v>5.8208270981273944E-2</v>
      </c>
      <c r="K51" s="790">
        <f ca="1">IF(K$3&gt;'Resultados_Tarifa e TIR'!$B$12,"",K50/K14)</f>
        <v>5.1944400731176683E-2</v>
      </c>
      <c r="L51" s="790">
        <f ca="1">IF(L$3&gt;'Resultados_Tarifa e TIR'!$B$12,"",L50/L14)</f>
        <v>6.5138738743394597E-2</v>
      </c>
      <c r="M51" s="790">
        <f ca="1">IF(M$3&gt;'Resultados_Tarifa e TIR'!$B$12,"",M50/M14)</f>
        <v>5.418049026165863E-2</v>
      </c>
      <c r="N51" s="790">
        <f ca="1">IF(N$3&gt;'Resultados_Tarifa e TIR'!$B$12,"",N50/N14)</f>
        <v>6.0666559682430447E-2</v>
      </c>
      <c r="O51" s="790">
        <f ca="1">IF(O$3&gt;'Resultados_Tarifa e TIR'!$B$12,"",O50/O14)</f>
        <v>6.0496385848490097E-2</v>
      </c>
      <c r="P51" s="790">
        <f ca="1">IF(P$3&gt;'Resultados_Tarifa e TIR'!$B$12,"",P50/P14)</f>
        <v>5.049305720992401E-2</v>
      </c>
      <c r="Q51" s="790">
        <f ca="1">IF(Q$3&gt;'Resultados_Tarifa e TIR'!$B$12,"",Q50/Q14)</f>
        <v>5.7031151967429895E-2</v>
      </c>
      <c r="R51" s="790" t="str">
        <f>IF(R$3&gt;'Resultados_Tarifa e TIR'!$B$12,"",R50/R14)</f>
        <v/>
      </c>
      <c r="S51" s="790" t="str">
        <f>IF(S$3&gt;'Resultados_Tarifa e TIR'!$B$12,"",S50/S14)</f>
        <v/>
      </c>
      <c r="T51" s="790" t="str">
        <f>IF(T$3&gt;'Resultados_Tarifa e TIR'!$B$12,"",T50/T14)</f>
        <v/>
      </c>
      <c r="U51" s="790" t="str">
        <f>IF(U$3&gt;'Resultados_Tarifa e TIR'!$B$12,"",U50/U14)</f>
        <v/>
      </c>
      <c r="V51" s="790" t="str">
        <f>IF(V$3&gt;'Resultados_Tarifa e TIR'!$B$12,"",V50/V14)</f>
        <v/>
      </c>
      <c r="W51" s="790" t="str">
        <f>IF(W$3&gt;'Resultados_Tarifa e TIR'!$B$12,"",W50/W14)</f>
        <v/>
      </c>
      <c r="X51" s="790" t="str">
        <f>IF(X$3&gt;'Resultados_Tarifa e TIR'!$B$12,"",X50/X14)</f>
        <v/>
      </c>
      <c r="Y51" s="790" t="str">
        <f>IF(Y$3&gt;'Resultados_Tarifa e TIR'!$B$12,"",Y50/Y14)</f>
        <v/>
      </c>
      <c r="Z51" s="790" t="str">
        <f>IF(Z$3&gt;'Resultados_Tarifa e TIR'!$B$12,"",Z50/Z14)</f>
        <v/>
      </c>
      <c r="AA51" s="790" t="str">
        <f>IF(AA$3&gt;'Resultados_Tarifa e TIR'!$B$12,"",AA50/AA14)</f>
        <v/>
      </c>
    </row>
  </sheetData>
  <sheetProtection algorithmName="SHA-512" hashValue="hKDE9CzqKdVGxKnp3dhpG97GVhSplNWaMBjVmZDSRZ3XTQsFAjfTfxamCQ7zNKjF2uzi3ob9bYkU2MFU5V6ylQ==" saltValue="WJz3OMXB0+lgG6fk0D7WpQ==" spinCount="100000" sheet="1" objects="1" scenarios="1"/>
  <conditionalFormatting sqref="A41 A51">
    <cfRule type="cellIs" dxfId="21" priority="108" operator="lessThan">
      <formula>0</formula>
    </cfRule>
  </conditionalFormatting>
  <conditionalFormatting sqref="A44">
    <cfRule type="cellIs" dxfId="20" priority="107" operator="lessThan">
      <formula>0</formula>
    </cfRule>
  </conditionalFormatting>
  <conditionalFormatting sqref="C41:AA41 C51:AA51">
    <cfRule type="cellIs" dxfId="19" priority="111" operator="lessThan">
      <formula>0</formula>
    </cfRule>
  </conditionalFormatting>
  <conditionalFormatting sqref="C44:AB44">
    <cfRule type="cellIs" dxfId="18" priority="110" operator="lessThan">
      <formula>0</formula>
    </cfRule>
  </conditionalFormatting>
  <conditionalFormatting sqref="C15:AC18 C19:T19 W19:AC19 AC20 D20:AB34 C20:C35 AC21:AD21 D35:AC35">
    <cfRule type="cellIs" dxfId="17" priority="109" operator="notEqual">
      <formula>B15</formula>
    </cfRule>
  </conditionalFormatting>
  <conditionalFormatting sqref="V19">
    <cfRule type="cellIs" dxfId="16" priority="706" operator="notEqual">
      <formula>T19</formula>
    </cfRule>
  </conditionalFormatting>
  <conditionalFormatting sqref="AG30:AG48">
    <cfRule type="expression" dxfId="15" priority="86" stopIfTrue="1">
      <formula>"mod($A1;2)=0"</formula>
    </cfRule>
  </conditionalFormatting>
  <printOptions horizontalCentered="1" verticalCentered="1"/>
  <pageMargins left="0.39370078740157483" right="0.39370078740157483" top="0.19685039370078741" bottom="0.39370078740157483" header="0.51181102362204722" footer="0.51181102362204722"/>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5B248-F2C6-44F3-824A-B64A9BA0865E}">
  <sheetPr>
    <tabColor theme="6" tint="0.39997558519241921"/>
  </sheetPr>
  <dimension ref="A1:AA37"/>
  <sheetViews>
    <sheetView view="pageBreakPreview" zoomScaleNormal="85" zoomScaleSheetLayoutView="100" workbookViewId="0">
      <selection activeCell="R1" sqref="R1:AA1048576"/>
    </sheetView>
  </sheetViews>
  <sheetFormatPr defaultRowHeight="12.75" x14ac:dyDescent="0.2"/>
  <cols>
    <col min="1" max="1" width="10.28515625" style="688" bestFit="1" customWidth="1"/>
    <col min="2" max="2" width="33.28515625" style="688" bestFit="1" customWidth="1"/>
    <col min="3" max="3" width="9.28515625" style="688" customWidth="1"/>
    <col min="4" max="17" width="8.28515625" style="688" customWidth="1"/>
    <col min="18" max="22" width="8.28515625" style="688" hidden="1" customWidth="1"/>
    <col min="23" max="27" width="9.140625" style="688" hidden="1" customWidth="1"/>
    <col min="28" max="16384" width="9.140625" style="688"/>
  </cols>
  <sheetData>
    <row r="1" spans="1:27" ht="15" x14ac:dyDescent="0.25">
      <c r="B1" s="560" t="s">
        <v>1182</v>
      </c>
    </row>
    <row r="3" spans="1:27" x14ac:dyDescent="0.2">
      <c r="B3" s="701" t="s">
        <v>1306</v>
      </c>
      <c r="C3" s="701"/>
      <c r="D3" s="701"/>
      <c r="E3" s="701"/>
      <c r="F3" s="701"/>
      <c r="G3" s="701"/>
      <c r="H3" s="701"/>
      <c r="I3" s="701"/>
      <c r="J3" s="701"/>
      <c r="K3" s="701"/>
      <c r="L3" s="701"/>
      <c r="M3" s="701"/>
    </row>
    <row r="4" spans="1:27" x14ac:dyDescent="0.2">
      <c r="A4" s="755" t="s">
        <v>1074</v>
      </c>
      <c r="B4" s="756" t="s">
        <v>360</v>
      </c>
      <c r="C4" s="757">
        <f>FC_Premissas!D$5</f>
        <v>1</v>
      </c>
      <c r="D4" s="757">
        <f>FC_Premissas!E$5</f>
        <v>2</v>
      </c>
      <c r="E4" s="757">
        <f>FC_Premissas!F$5</f>
        <v>3</v>
      </c>
      <c r="F4" s="757">
        <f>FC_Premissas!G$5</f>
        <v>4</v>
      </c>
      <c r="G4" s="757">
        <f>FC_Premissas!H$5</f>
        <v>5</v>
      </c>
      <c r="H4" s="757">
        <f>FC_Premissas!I$5</f>
        <v>6</v>
      </c>
      <c r="I4" s="757">
        <f>FC_Premissas!J$5</f>
        <v>7</v>
      </c>
      <c r="J4" s="757">
        <f>FC_Premissas!K$5</f>
        <v>8</v>
      </c>
      <c r="K4" s="757">
        <f>FC_Premissas!L$5</f>
        <v>9</v>
      </c>
      <c r="L4" s="757">
        <f>FC_Premissas!M$5</f>
        <v>10</v>
      </c>
      <c r="M4" s="757">
        <f>FC_Premissas!N$5</f>
        <v>11</v>
      </c>
      <c r="N4" s="757">
        <f>FC_Premissas!O$5</f>
        <v>12</v>
      </c>
      <c r="O4" s="757">
        <f>FC_Premissas!P$5</f>
        <v>13</v>
      </c>
      <c r="P4" s="757">
        <f>FC_Premissas!Q$5</f>
        <v>14</v>
      </c>
      <c r="Q4" s="757">
        <f>FC_Premissas!R$5</f>
        <v>15</v>
      </c>
      <c r="R4" s="757">
        <f>FC_Premissas!S$5</f>
        <v>16</v>
      </c>
      <c r="S4" s="757">
        <f>FC_Premissas!T$5</f>
        <v>17</v>
      </c>
      <c r="T4" s="757">
        <f>FC_Premissas!U$5</f>
        <v>18</v>
      </c>
      <c r="U4" s="757">
        <f>FC_Premissas!V$5</f>
        <v>19</v>
      </c>
      <c r="V4" s="757">
        <f>FC_Premissas!W$5</f>
        <v>20</v>
      </c>
      <c r="W4" s="757">
        <f>FC_Premissas!X$5</f>
        <v>21</v>
      </c>
      <c r="X4" s="757">
        <f>FC_Premissas!Y$5</f>
        <v>22</v>
      </c>
      <c r="Y4" s="757">
        <f>FC_Premissas!Z$5</f>
        <v>23</v>
      </c>
      <c r="Z4" s="757">
        <f>FC_Premissas!AA$5</f>
        <v>24</v>
      </c>
      <c r="AA4" s="757">
        <f>FC_Premissas!AB$5</f>
        <v>25</v>
      </c>
    </row>
    <row r="5" spans="1:27" x14ac:dyDescent="0.2">
      <c r="A5" s="808">
        <f t="shared" ref="A5:A10" ca="1" si="0">SUM(C5:V5)</f>
        <v>4595710.8829090903</v>
      </c>
      <c r="B5" s="701" t="s">
        <v>223</v>
      </c>
      <c r="C5" s="809">
        <f ca="1">IF(C4&lt;=FC_Premissas!$C$4,OFFSET('Ent_Plano Renovação Frota'!$Z$29,(FC_DRE!C$3-1)*25,0),0)</f>
        <v>394943.90399999998</v>
      </c>
      <c r="D5" s="809">
        <f ca="1">IF(D4&lt;=FC_Premissas!$C$4,OFFSET('Ent_Plano Renovação Frota'!$Z$29,(FC_DRE!D$3-1)*25,0),"")</f>
        <v>263295.93599999999</v>
      </c>
      <c r="E5" s="809">
        <f ca="1">IF(E4&lt;=FC_Premissas!$C$4,OFFSET('Ent_Plano Renovação Frota'!$Z$29,(FC_DRE!E$3-1)*25,0),"")</f>
        <v>359039.91272727272</v>
      </c>
      <c r="F5" s="809">
        <f ca="1">IF(F4&lt;=FC_Premissas!$C$4,OFFSET('Ent_Plano Renovação Frota'!$Z$29,(FC_DRE!F$3-1)*25,0),"")</f>
        <v>239359.94181818183</v>
      </c>
      <c r="G5" s="809">
        <f ca="1">IF(G4&lt;=FC_Premissas!$C$4,OFFSET('Ent_Plano Renovação Frota'!$Z$29,(FC_DRE!G$3-1)*25,0),"")</f>
        <v>335103.91854545457</v>
      </c>
      <c r="H5" s="809">
        <f ca="1">IF(H4&lt;=FC_Premissas!$C$4,OFFSET('Ent_Plano Renovação Frota'!$Z$29,(FC_DRE!H$3-1)*25,0),"")</f>
        <v>275263.93309090909</v>
      </c>
      <c r="I5" s="809">
        <f ca="1">IF(I4&lt;=FC_Premissas!$C$4,OFFSET('Ent_Plano Renovação Frota'!$Z$29,(FC_DRE!I$3-1)*25,0),"")</f>
        <v>311167.92436363635</v>
      </c>
      <c r="J5" s="809">
        <f ca="1">IF(J4&lt;=FC_Premissas!$C$4,OFFSET('Ent_Plano Renovação Frota'!$Z$29,(FC_DRE!J$3-1)*25,0),"")</f>
        <v>323135.92145454546</v>
      </c>
      <c r="K5" s="809">
        <f ca="1">IF(K4&lt;=FC_Premissas!$C$4,OFFSET('Ent_Plano Renovação Frota'!$Z$29,(FC_DRE!K$3-1)*25,0),"")</f>
        <v>347071.91563636367</v>
      </c>
      <c r="L5" s="809">
        <f ca="1">IF(L4&lt;=FC_Premissas!$C$4,OFFSET('Ent_Plano Renovação Frota'!$Z$29,(FC_DRE!L$3-1)*25,0),"")</f>
        <v>227391.94472727273</v>
      </c>
      <c r="M5" s="809">
        <f ca="1">IF(M4&lt;=FC_Premissas!$C$4,OFFSET('Ent_Plano Renovação Frota'!$Z$29,(FC_DRE!M$3-1)*25,0),"")</f>
        <v>323135.92145454546</v>
      </c>
      <c r="N5" s="809">
        <f ca="1">IF(N4&lt;=FC_Premissas!$C$4,OFFSET('Ent_Plano Renovação Frota'!$Z$29,(FC_DRE!N$3-1)*25,0),"")</f>
        <v>275263.93309090909</v>
      </c>
      <c r="O5" s="809">
        <f ca="1">IF(O4&lt;=FC_Premissas!$C$4,OFFSET('Ent_Plano Renovação Frota'!$Z$29,(FC_DRE!O$3-1)*25,0),"")</f>
        <v>239359.9418181818</v>
      </c>
      <c r="P5" s="809">
        <f ca="1">IF(P4&lt;=FC_Premissas!$C$4,OFFSET('Ent_Plano Renovação Frota'!$Z$29,(FC_DRE!P$3-1)*25,0),"")</f>
        <v>394943.90399999998</v>
      </c>
      <c r="Q5" s="809">
        <f ca="1">IF(Q4&lt;=FC_Premissas!$C$4,OFFSET('Ent_Plano Renovação Frota'!$Z$29,(FC_DRE!Q$3-1)*25,0),"")</f>
        <v>287231.9301818182</v>
      </c>
      <c r="R5" s="809" t="str">
        <f ca="1">IF(R4&lt;=FC_Premissas!$C$4,OFFSET('Ent_Plano Renovação Frota'!$Z$29,(FC_DRE!R$3-1)*25,0),"")</f>
        <v/>
      </c>
      <c r="S5" s="809" t="str">
        <f ca="1">IF(S4&lt;=FC_Premissas!$C$4,OFFSET('Ent_Plano Renovação Frota'!$Z$29,(FC_DRE!S$3-1)*25,0),"")</f>
        <v/>
      </c>
      <c r="T5" s="809" t="str">
        <f ca="1">IF(T4&lt;=FC_Premissas!$C$4,OFFSET('Ent_Plano Renovação Frota'!$Z$29,(FC_DRE!T$3-1)*25,0),"")</f>
        <v/>
      </c>
      <c r="U5" s="809" t="str">
        <f ca="1">IF(U4&lt;=FC_Premissas!$C$4,OFFSET('Ent_Plano Renovação Frota'!$Z$29,(FC_DRE!U$3-1)*25,0),"")</f>
        <v/>
      </c>
      <c r="V5" s="809" t="str">
        <f ca="1">IF(V4&lt;=FC_Premissas!$C$4,OFFSET('Ent_Plano Renovação Frota'!$Z$29,(FC_DRE!V$3-1)*25,0),"")</f>
        <v/>
      </c>
      <c r="W5" s="809" t="str">
        <f ca="1">IF(W4&lt;=FC_Premissas!$C$4,OFFSET('Ent_Plano Renovação Frota'!$Z$29,(FC_DRE!W$3-1)*25,0),"")</f>
        <v/>
      </c>
      <c r="X5" s="809" t="str">
        <f ca="1">IF(X4&lt;=FC_Premissas!$C$4,OFFSET('Ent_Plano Renovação Frota'!$Z$29,(FC_DRE!X$3-1)*25,0),"")</f>
        <v/>
      </c>
      <c r="Y5" s="809" t="str">
        <f ca="1">IF(Y4&lt;=FC_Premissas!$C$4,OFFSET('Ent_Plano Renovação Frota'!$Z$29,(FC_DRE!Y$3-1)*25,0),"")</f>
        <v/>
      </c>
      <c r="Z5" s="809" t="str">
        <f ca="1">IF(Z4&lt;=FC_Premissas!$C$4,OFFSET('Ent_Plano Renovação Frota'!$Z$29,(FC_DRE!Z$3-1)*25,0),"")</f>
        <v/>
      </c>
      <c r="AA5" s="809" t="str">
        <f ca="1">IF(AA4&lt;=FC_Premissas!$C$4,OFFSET('Ent_Plano Renovação Frota'!$Z$29,(FC_DRE!AA$3-1)*25,0),"")</f>
        <v/>
      </c>
    </row>
    <row r="6" spans="1:27" x14ac:dyDescent="0.2">
      <c r="A6" s="808">
        <f t="shared" si="0"/>
        <v>141686.74979999999</v>
      </c>
      <c r="B6" s="701" t="s">
        <v>1307</v>
      </c>
      <c r="C6" s="809">
        <f>IF(C4&lt;=FC_Premissas!$C$4,(Ent_Geral!D78*(1-Ent_Geral!D80/100)/Ent_Geral!D79/12)*12,0)</f>
        <v>9445.7833200000005</v>
      </c>
      <c r="D6" s="809">
        <f>IF(D4&lt;=FC_Premissas!$C$4,C6,"")</f>
        <v>9445.7833200000005</v>
      </c>
      <c r="E6" s="809">
        <f>IF(E4&lt;=FC_Premissas!$C$4,D6,"")</f>
        <v>9445.7833200000005</v>
      </c>
      <c r="F6" s="809">
        <f>IF(F4&lt;=FC_Premissas!$C$4,E6,"")</f>
        <v>9445.7833200000005</v>
      </c>
      <c r="G6" s="809">
        <f>IF(G4&lt;=FC_Premissas!$C$4,F6,"")</f>
        <v>9445.7833200000005</v>
      </c>
      <c r="H6" s="809">
        <f>IF(H4&lt;=FC_Premissas!$C$4,G6,"")</f>
        <v>9445.7833200000005</v>
      </c>
      <c r="I6" s="809">
        <f>IF(I4&lt;=FC_Premissas!$C$4,H6,"")</f>
        <v>9445.7833200000005</v>
      </c>
      <c r="J6" s="809">
        <f>IF(J4&lt;=FC_Premissas!$C$4,I6,"")</f>
        <v>9445.7833200000005</v>
      </c>
      <c r="K6" s="809">
        <f>IF(K4&lt;=FC_Premissas!$C$4,J6,"")</f>
        <v>9445.7833200000005</v>
      </c>
      <c r="L6" s="809">
        <f>IF(L4&lt;=FC_Premissas!$C$4,K6,"")</f>
        <v>9445.7833200000005</v>
      </c>
      <c r="M6" s="809">
        <f>IF(M4&lt;=FC_Premissas!$C$4,L6,"")</f>
        <v>9445.7833200000005</v>
      </c>
      <c r="N6" s="809">
        <f>IF(N4&lt;=FC_Premissas!$C$4,M6,"")</f>
        <v>9445.7833200000005</v>
      </c>
      <c r="O6" s="809">
        <f>IF(O4&lt;=FC_Premissas!$C$4,N6,"")</f>
        <v>9445.7833200000005</v>
      </c>
      <c r="P6" s="809">
        <f>IF(P4&lt;=FC_Premissas!$C$4,O6,"")</f>
        <v>9445.7833200000005</v>
      </c>
      <c r="Q6" s="809">
        <f>IF(Q4&lt;=FC_Premissas!$C$4,P6,"")</f>
        <v>9445.7833200000005</v>
      </c>
      <c r="R6" s="809" t="str">
        <f>IF(R4&lt;=FC_Premissas!$C$4,Q6,"")</f>
        <v/>
      </c>
      <c r="S6" s="809" t="str">
        <f>IF(S4&lt;=FC_Premissas!$C$4,R6,"")</f>
        <v/>
      </c>
      <c r="T6" s="809" t="str">
        <f>IF(T4&lt;=FC_Premissas!$C$4,S6,"")</f>
        <v/>
      </c>
      <c r="U6" s="809" t="str">
        <f>IF(U4&lt;=FC_Premissas!$C$4,T6,"")</f>
        <v/>
      </c>
      <c r="V6" s="809" t="str">
        <f>IF(V4&lt;=FC_Premissas!$C$4,U6,"")</f>
        <v/>
      </c>
      <c r="W6" s="809" t="str">
        <f>IF(W4&lt;=FC_Premissas!$C$4,V6,"")</f>
        <v/>
      </c>
      <c r="X6" s="809" t="str">
        <f>IF(X4&lt;=FC_Premissas!$C$4,W6,"")</f>
        <v/>
      </c>
      <c r="Y6" s="809" t="str">
        <f>IF(Y4&lt;=FC_Premissas!$C$4,X6,"")</f>
        <v/>
      </c>
      <c r="Z6" s="809" t="str">
        <f>IF(Z4&lt;=FC_Premissas!$C$4,Y6,"")</f>
        <v/>
      </c>
      <c r="AA6" s="809" t="str">
        <f>IF(AA4&lt;=FC_Premissas!$C$4,Z6,"")</f>
        <v/>
      </c>
    </row>
    <row r="7" spans="1:27" x14ac:dyDescent="0.2">
      <c r="A7" s="808">
        <f t="shared" si="0"/>
        <v>134157.01500000004</v>
      </c>
      <c r="B7" s="701" t="s">
        <v>1308</v>
      </c>
      <c r="C7" s="809">
        <f>IF(C4&lt;=FC_Premissas!$C$4,(Ent_Geral!D81*(1-Ent_Geral!D83/100)/Ent_Geral!D82/12)*12,0)</f>
        <v>8943.8009999999995</v>
      </c>
      <c r="D7" s="809">
        <f>IF(D4&lt;=FC_Premissas!$C$4,C7,"")</f>
        <v>8943.8009999999995</v>
      </c>
      <c r="E7" s="809">
        <f>IF(E4&lt;=FC_Premissas!$C$4,D7,"")</f>
        <v>8943.8009999999995</v>
      </c>
      <c r="F7" s="809">
        <f>IF(F4&lt;=FC_Premissas!$C$4,E7,"")</f>
        <v>8943.8009999999995</v>
      </c>
      <c r="G7" s="809">
        <f>IF(G4&lt;=FC_Premissas!$C$4,F7,"")</f>
        <v>8943.8009999999995</v>
      </c>
      <c r="H7" s="809">
        <f>IF(H4&lt;=FC_Premissas!$C$4,G7,"")</f>
        <v>8943.8009999999995</v>
      </c>
      <c r="I7" s="809">
        <f>IF(I4&lt;=FC_Premissas!$C$4,H7,"")</f>
        <v>8943.8009999999995</v>
      </c>
      <c r="J7" s="809">
        <f>IF(J4&lt;=FC_Premissas!$C$4,I7,"")</f>
        <v>8943.8009999999995</v>
      </c>
      <c r="K7" s="809">
        <f>IF(K4&lt;=FC_Premissas!$C$4,J7,"")</f>
        <v>8943.8009999999995</v>
      </c>
      <c r="L7" s="809">
        <f>IF(L4&lt;=FC_Premissas!$C$4,K7,"")</f>
        <v>8943.8009999999995</v>
      </c>
      <c r="M7" s="809">
        <f>IF(M4&lt;=FC_Premissas!$C$4,L7,"")</f>
        <v>8943.8009999999995</v>
      </c>
      <c r="N7" s="809">
        <f>IF(N4&lt;=FC_Premissas!$C$4,M7,"")</f>
        <v>8943.8009999999995</v>
      </c>
      <c r="O7" s="809">
        <f>IF(O4&lt;=FC_Premissas!$C$4,N7,"")</f>
        <v>8943.8009999999995</v>
      </c>
      <c r="P7" s="809">
        <f>IF(P4&lt;=FC_Premissas!$C$4,O7,"")</f>
        <v>8943.8009999999995</v>
      </c>
      <c r="Q7" s="809">
        <f>IF(Q4&lt;=FC_Premissas!$C$4,P7,"")</f>
        <v>8943.8009999999995</v>
      </c>
      <c r="R7" s="809" t="str">
        <f>IF(R4&lt;=FC_Premissas!$C$4,Q7,"")</f>
        <v/>
      </c>
      <c r="S7" s="809" t="str">
        <f>IF(S4&lt;=FC_Premissas!$C$4,R7,"")</f>
        <v/>
      </c>
      <c r="T7" s="809" t="str">
        <f>IF(T4&lt;=FC_Premissas!$C$4,S7,"")</f>
        <v/>
      </c>
      <c r="U7" s="809" t="str">
        <f>IF(U4&lt;=FC_Premissas!$C$4,T7,"")</f>
        <v/>
      </c>
      <c r="V7" s="809" t="str">
        <f>IF(V4&lt;=FC_Premissas!$C$4,U7,"")</f>
        <v/>
      </c>
      <c r="W7" s="809" t="str">
        <f>IF(W4&lt;=FC_Premissas!$C$4,V7,"")</f>
        <v/>
      </c>
      <c r="X7" s="809" t="str">
        <f>IF(X4&lt;=FC_Premissas!$C$4,W7,"")</f>
        <v/>
      </c>
      <c r="Y7" s="809" t="str">
        <f>IF(Y4&lt;=FC_Premissas!$C$4,X7,"")</f>
        <v/>
      </c>
      <c r="Z7" s="809" t="str">
        <f>IF(Z4&lt;=FC_Premissas!$C$4,Y7,"")</f>
        <v/>
      </c>
      <c r="AA7" s="809" t="str">
        <f>IF(AA4&lt;=FC_Premissas!$C$4,Z7,"")</f>
        <v/>
      </c>
    </row>
    <row r="8" spans="1:27" x14ac:dyDescent="0.2">
      <c r="A8" s="808">
        <f t="shared" si="0"/>
        <v>977050.7999999997</v>
      </c>
      <c r="B8" s="701" t="s">
        <v>1309</v>
      </c>
      <c r="C8" s="809">
        <f>IF(C4&lt;=FC_Premissas!$C$4,(Ent_Geral!D84*(1-Ent_Geral!D86/100)/Ent_Geral!D85/12)*12,0)</f>
        <v>65136.719999999994</v>
      </c>
      <c r="D8" s="809">
        <f>IF(D4&lt;=FC_Premissas!$C$4,C8,"")</f>
        <v>65136.719999999994</v>
      </c>
      <c r="E8" s="809">
        <f>IF(E4&lt;=FC_Premissas!$C$4,D8,"")</f>
        <v>65136.719999999994</v>
      </c>
      <c r="F8" s="809">
        <f>IF(F4&lt;=FC_Premissas!$C$4,E8,"")</f>
        <v>65136.719999999994</v>
      </c>
      <c r="G8" s="809">
        <f>IF(G4&lt;=FC_Premissas!$C$4,F8,"")</f>
        <v>65136.719999999994</v>
      </c>
      <c r="H8" s="809">
        <f>IF(H4&lt;=FC_Premissas!$C$4,G8,"")</f>
        <v>65136.719999999994</v>
      </c>
      <c r="I8" s="809">
        <f>IF(I4&lt;=FC_Premissas!$C$4,H8,"")</f>
        <v>65136.719999999994</v>
      </c>
      <c r="J8" s="809">
        <f>IF(J4&lt;=FC_Premissas!$C$4,I8,"")</f>
        <v>65136.719999999994</v>
      </c>
      <c r="K8" s="809">
        <f>IF(K4&lt;=FC_Premissas!$C$4,J8,"")</f>
        <v>65136.719999999994</v>
      </c>
      <c r="L8" s="809">
        <f>IF(L4&lt;=FC_Premissas!$C$4,K8,"")</f>
        <v>65136.719999999994</v>
      </c>
      <c r="M8" s="809">
        <f>IF(M4&lt;=FC_Premissas!$C$4,L8,"")</f>
        <v>65136.719999999994</v>
      </c>
      <c r="N8" s="809">
        <f>IF(N4&lt;=FC_Premissas!$C$4,M8,"")</f>
        <v>65136.719999999994</v>
      </c>
      <c r="O8" s="809">
        <f>IF(O4&lt;=FC_Premissas!$C$4,N8,"")</f>
        <v>65136.719999999994</v>
      </c>
      <c r="P8" s="809">
        <f>IF(P4&lt;=FC_Premissas!$C$4,O8,"")</f>
        <v>65136.719999999994</v>
      </c>
      <c r="Q8" s="809">
        <f>IF(Q4&lt;=FC_Premissas!$C$4,P8,"")</f>
        <v>65136.719999999994</v>
      </c>
      <c r="R8" s="809" t="str">
        <f>IF(R4&lt;=FC_Premissas!$C$4,Q8,"")</f>
        <v/>
      </c>
      <c r="S8" s="809" t="str">
        <f>IF(S4&lt;=FC_Premissas!$C$4,R8,"")</f>
        <v/>
      </c>
      <c r="T8" s="809" t="str">
        <f>IF(T4&lt;=FC_Premissas!$C$4,S8,"")</f>
        <v/>
      </c>
      <c r="U8" s="809" t="str">
        <f>IF(U4&lt;=FC_Premissas!$C$4,T8,"")</f>
        <v/>
      </c>
      <c r="V8" s="809" t="str">
        <f>IF(V4&lt;=FC_Premissas!$C$4,U8,"")</f>
        <v/>
      </c>
      <c r="W8" s="809" t="str">
        <f>IF(W4&lt;=FC_Premissas!$C$4,V8,"")</f>
        <v/>
      </c>
      <c r="X8" s="809" t="str">
        <f>IF(X4&lt;=FC_Premissas!$C$4,W8,"")</f>
        <v/>
      </c>
      <c r="Y8" s="809" t="str">
        <f>IF(Y4&lt;=FC_Premissas!$C$4,X8,"")</f>
        <v/>
      </c>
      <c r="Z8" s="809" t="str">
        <f>IF(Z4&lt;=FC_Premissas!$C$4,Y8,"")</f>
        <v/>
      </c>
      <c r="AA8" s="809" t="str">
        <f>IF(AA4&lt;=FC_Premissas!$C$4,Z8,"")</f>
        <v/>
      </c>
    </row>
    <row r="9" spans="1:27" ht="13.5" thickBot="1" x14ac:dyDescent="0.25">
      <c r="A9" s="808">
        <f t="shared" si="0"/>
        <v>34999.999999999993</v>
      </c>
      <c r="B9" s="701" t="s">
        <v>139</v>
      </c>
      <c r="C9" s="809">
        <f>IF(C4&lt;=FC_Premissas!$C$4,IFERROR((Ent_Geral!D68/Ent_Geral!D69/12)*12,0),0)</f>
        <v>2333.3333333333335</v>
      </c>
      <c r="D9" s="809">
        <f>IF(D4&lt;=FC_Premissas!$C$4,C9,"")</f>
        <v>2333.3333333333335</v>
      </c>
      <c r="E9" s="809">
        <f>IF(E4&lt;=FC_Premissas!$C$4,D9,"")</f>
        <v>2333.3333333333335</v>
      </c>
      <c r="F9" s="809">
        <f>IF(F4&lt;=FC_Premissas!$C$4,E9,"")</f>
        <v>2333.3333333333335</v>
      </c>
      <c r="G9" s="809">
        <f>IF(G4&lt;=FC_Premissas!$C$4,F9,"")</f>
        <v>2333.3333333333335</v>
      </c>
      <c r="H9" s="809">
        <f>IF(H4&lt;=FC_Premissas!$C$4,G9,"")</f>
        <v>2333.3333333333335</v>
      </c>
      <c r="I9" s="809">
        <f>IF(I4&lt;=FC_Premissas!$C$4,H9,"")</f>
        <v>2333.3333333333335</v>
      </c>
      <c r="J9" s="809">
        <f>IF(J4&lt;=FC_Premissas!$C$4,I9,"")</f>
        <v>2333.3333333333335</v>
      </c>
      <c r="K9" s="809">
        <f>IF(K4&lt;=FC_Premissas!$C$4,J9,"")</f>
        <v>2333.3333333333335</v>
      </c>
      <c r="L9" s="809">
        <f>IF(L4&lt;=FC_Premissas!$C$4,K9,"")</f>
        <v>2333.3333333333335</v>
      </c>
      <c r="M9" s="809">
        <f>IF(M4&lt;=FC_Premissas!$C$4,L9,"")</f>
        <v>2333.3333333333335</v>
      </c>
      <c r="N9" s="809">
        <f>IF(N4&lt;=FC_Premissas!$C$4,M9,"")</f>
        <v>2333.3333333333335</v>
      </c>
      <c r="O9" s="809">
        <f>IF(O4&lt;=FC_Premissas!$C$4,N9,"")</f>
        <v>2333.3333333333335</v>
      </c>
      <c r="P9" s="809">
        <f>IF(P4&lt;=FC_Premissas!$C$4,O9,"")</f>
        <v>2333.3333333333335</v>
      </c>
      <c r="Q9" s="809">
        <f>IF(Q4&lt;=FC_Premissas!$C$4,P9,"")</f>
        <v>2333.3333333333335</v>
      </c>
      <c r="R9" s="809" t="str">
        <f>IF(R4&lt;=FC_Premissas!$C$4,Q9,"")</f>
        <v/>
      </c>
      <c r="S9" s="809" t="str">
        <f>IF(S4&lt;=FC_Premissas!$C$4,R9,"")</f>
        <v/>
      </c>
      <c r="T9" s="809" t="str">
        <f>IF(T4&lt;=FC_Premissas!$C$4,S9,"")</f>
        <v/>
      </c>
      <c r="U9" s="809" t="str">
        <f>IF(U4&lt;=FC_Premissas!$C$4,T9,"")</f>
        <v/>
      </c>
      <c r="V9" s="809" t="str">
        <f>IF(V4&lt;=FC_Premissas!$C$4,U9,"")</f>
        <v/>
      </c>
      <c r="W9" s="809" t="str">
        <f>IF(W4&lt;=FC_Premissas!$C$4,V9,"")</f>
        <v/>
      </c>
      <c r="X9" s="809" t="str">
        <f>IF(X4&lt;=FC_Premissas!$C$4,W9,"")</f>
        <v/>
      </c>
      <c r="Y9" s="809" t="str">
        <f>IF(Y4&lt;=FC_Premissas!$C$4,X9,"")</f>
        <v/>
      </c>
      <c r="Z9" s="809" t="str">
        <f>IF(Z4&lt;=FC_Premissas!$C$4,Y9,"")</f>
        <v/>
      </c>
      <c r="AA9" s="809" t="str">
        <f>IF(AA4&lt;=FC_Premissas!$C$4,Z9,"")</f>
        <v/>
      </c>
    </row>
    <row r="10" spans="1:27" ht="13.5" thickTop="1" x14ac:dyDescent="0.2">
      <c r="A10" s="810">
        <f t="shared" ca="1" si="0"/>
        <v>5883605.4477090901</v>
      </c>
      <c r="B10" s="811" t="s">
        <v>1310</v>
      </c>
      <c r="C10" s="812">
        <f ca="1">SUM(C5:C9)</f>
        <v>480803.54165333323</v>
      </c>
      <c r="D10" s="812">
        <f t="shared" ref="D10:AA10" ca="1" si="1">SUM(D5:D9)</f>
        <v>349155.57365333324</v>
      </c>
      <c r="E10" s="812">
        <f t="shared" ca="1" si="1"/>
        <v>444899.55038060597</v>
      </c>
      <c r="F10" s="812">
        <f t="shared" ca="1" si="1"/>
        <v>325219.57947151514</v>
      </c>
      <c r="G10" s="812">
        <f t="shared" ca="1" si="1"/>
        <v>420963.55619878782</v>
      </c>
      <c r="H10" s="812">
        <f t="shared" ca="1" si="1"/>
        <v>361123.57074424234</v>
      </c>
      <c r="I10" s="812">
        <f t="shared" ca="1" si="1"/>
        <v>397027.5620169696</v>
      </c>
      <c r="J10" s="812">
        <f t="shared" ca="1" si="1"/>
        <v>408995.55910787871</v>
      </c>
      <c r="K10" s="812">
        <f t="shared" ca="1" si="1"/>
        <v>432931.55328969692</v>
      </c>
      <c r="L10" s="812">
        <f t="shared" ca="1" si="1"/>
        <v>313251.58238060604</v>
      </c>
      <c r="M10" s="812">
        <f t="shared" ca="1" si="1"/>
        <v>408995.55910787871</v>
      </c>
      <c r="N10" s="812">
        <f t="shared" ca="1" si="1"/>
        <v>361123.57074424234</v>
      </c>
      <c r="O10" s="812">
        <f t="shared" ca="1" si="1"/>
        <v>325219.57947151508</v>
      </c>
      <c r="P10" s="812">
        <f t="shared" ca="1" si="1"/>
        <v>480803.54165333323</v>
      </c>
      <c r="Q10" s="812">
        <f t="shared" ca="1" si="1"/>
        <v>373091.56783515145</v>
      </c>
      <c r="R10" s="812">
        <f t="shared" ca="1" si="1"/>
        <v>0</v>
      </c>
      <c r="S10" s="812">
        <f t="shared" ca="1" si="1"/>
        <v>0</v>
      </c>
      <c r="T10" s="812">
        <f t="shared" ca="1" si="1"/>
        <v>0</v>
      </c>
      <c r="U10" s="812">
        <f t="shared" ca="1" si="1"/>
        <v>0</v>
      </c>
      <c r="V10" s="812">
        <f t="shared" ca="1" si="1"/>
        <v>0</v>
      </c>
      <c r="W10" s="812">
        <f t="shared" ca="1" si="1"/>
        <v>0</v>
      </c>
      <c r="X10" s="812">
        <f t="shared" ca="1" si="1"/>
        <v>0</v>
      </c>
      <c r="Y10" s="812">
        <f t="shared" ca="1" si="1"/>
        <v>0</v>
      </c>
      <c r="Z10" s="812">
        <f t="shared" ca="1" si="1"/>
        <v>0</v>
      </c>
      <c r="AA10" s="812">
        <f t="shared" ca="1" si="1"/>
        <v>0</v>
      </c>
    </row>
    <row r="11" spans="1:27" x14ac:dyDescent="0.2">
      <c r="A11" s="813"/>
      <c r="B11" s="762"/>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row>
    <row r="12" spans="1:27" x14ac:dyDescent="0.2">
      <c r="A12" s="813"/>
      <c r="B12" s="762"/>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row>
    <row r="13" spans="1:27" x14ac:dyDescent="0.2">
      <c r="A13" s="813"/>
      <c r="B13" s="762"/>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row>
    <row r="14" spans="1:27" x14ac:dyDescent="0.2">
      <c r="A14" s="815"/>
      <c r="B14" s="701"/>
      <c r="C14" s="807"/>
      <c r="D14" s="807"/>
      <c r="E14" s="807"/>
      <c r="F14" s="807"/>
      <c r="G14" s="807"/>
      <c r="H14" s="807"/>
      <c r="I14" s="807"/>
      <c r="J14" s="807"/>
      <c r="K14" s="807"/>
      <c r="L14" s="807"/>
      <c r="M14" s="807"/>
      <c r="N14" s="807"/>
      <c r="O14" s="807"/>
    </row>
    <row r="19" spans="1:15" x14ac:dyDescent="0.2">
      <c r="A19" s="815"/>
      <c r="B19" s="701"/>
      <c r="C19" s="807"/>
      <c r="D19" s="807"/>
      <c r="E19" s="807"/>
      <c r="F19" s="807"/>
      <c r="G19" s="807"/>
      <c r="H19" s="807"/>
      <c r="I19" s="807"/>
      <c r="J19" s="807"/>
      <c r="K19" s="807"/>
      <c r="L19" s="807"/>
      <c r="M19" s="807"/>
      <c r="N19" s="807"/>
      <c r="O19" s="807"/>
    </row>
    <row r="20" spans="1:15" x14ac:dyDescent="0.2">
      <c r="A20" s="815"/>
      <c r="B20" s="701"/>
      <c r="C20" s="807"/>
      <c r="D20" s="807"/>
      <c r="E20" s="807"/>
      <c r="F20" s="807"/>
      <c r="G20" s="807"/>
      <c r="H20" s="807"/>
      <c r="I20" s="807"/>
      <c r="J20" s="807"/>
      <c r="K20" s="807"/>
      <c r="L20" s="807"/>
      <c r="M20" s="807"/>
      <c r="N20" s="807"/>
      <c r="O20" s="807"/>
    </row>
    <row r="21" spans="1:15" x14ac:dyDescent="0.2">
      <c r="A21" s="815"/>
      <c r="B21" s="701"/>
      <c r="C21" s="807"/>
      <c r="D21" s="807"/>
      <c r="E21" s="807"/>
      <c r="F21" s="807"/>
      <c r="G21" s="807"/>
      <c r="H21" s="807"/>
      <c r="I21" s="807"/>
      <c r="J21" s="807"/>
      <c r="K21" s="807"/>
      <c r="L21" s="807"/>
      <c r="M21" s="807"/>
      <c r="N21" s="807"/>
      <c r="O21" s="807"/>
    </row>
    <row r="37" spans="7:7" x14ac:dyDescent="0.2">
      <c r="G37" s="688" t="s">
        <v>1265</v>
      </c>
    </row>
  </sheetData>
  <sheetProtection algorithmName="SHA-512" hashValue="oT1+Nn5Ng2HE6EL8S1m5BeDPCjM7VJJuYcFAbOF53vy3oHsG9RDuSLuMt9mpfWELQd/iXBNJHfMOEWxdX/R1sQ==" saltValue="E3BfR0K1t4w/P2sEVe0E8A==" spinCount="100000" sheet="1" objects="1" scenarios="1"/>
  <pageMargins left="0.511811024" right="0.511811024" top="0.78740157499999996" bottom="0.78740157499999996" header="0.31496062000000002" footer="0.31496062000000002"/>
  <pageSetup paperSize="9" scale="81"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9B323-107A-40CE-BBB8-D592BE9CE021}">
  <sheetPr>
    <tabColor theme="6" tint="0.39997558519241921"/>
    <pageSetUpPr fitToPage="1"/>
  </sheetPr>
  <dimension ref="A1:AC42"/>
  <sheetViews>
    <sheetView view="pageBreakPreview" zoomScale="85" zoomScaleNormal="85" zoomScaleSheetLayoutView="85" workbookViewId="0">
      <selection activeCell="E2" sqref="E2"/>
    </sheetView>
  </sheetViews>
  <sheetFormatPr defaultColWidth="9.140625" defaultRowHeight="15" x14ac:dyDescent="0.25"/>
  <cols>
    <col min="1" max="1" width="8.28515625" style="816" customWidth="1"/>
    <col min="2" max="2" width="43" style="818" bestFit="1" customWidth="1"/>
    <col min="3" max="3" width="15.85546875" style="817" bestFit="1" customWidth="1"/>
    <col min="4" max="14" width="10.42578125" style="818" customWidth="1"/>
    <col min="15" max="19" width="10.42578125" style="685" customWidth="1"/>
    <col min="20" max="28" width="9.42578125" style="685" hidden="1" customWidth="1"/>
    <col min="29" max="29" width="9.140625" style="685" hidden="1" customWidth="1"/>
    <col min="30" max="16384" width="9.140625" style="685"/>
  </cols>
  <sheetData>
    <row r="1" spans="1:29" x14ac:dyDescent="0.25">
      <c r="B1" s="560" t="s">
        <v>1182</v>
      </c>
    </row>
    <row r="3" spans="1:29" x14ac:dyDescent="0.25">
      <c r="A3" s="1032" t="s">
        <v>1311</v>
      </c>
      <c r="B3" s="1032"/>
      <c r="C3" s="819">
        <v>0</v>
      </c>
      <c r="E3" s="685"/>
      <c r="G3" s="685"/>
      <c r="K3" s="685"/>
      <c r="L3" s="820"/>
    </row>
    <row r="4" spans="1:29" x14ac:dyDescent="0.25">
      <c r="A4" s="1033" t="s">
        <v>1422</v>
      </c>
      <c r="B4" s="1032"/>
      <c r="C4" s="821">
        <f>FC_DRE!A9</f>
        <v>77733319.600216359</v>
      </c>
    </row>
    <row r="5" spans="1:29" x14ac:dyDescent="0.25">
      <c r="A5" s="822"/>
      <c r="C5" s="818"/>
    </row>
    <row r="6" spans="1:29" x14ac:dyDescent="0.25">
      <c r="A6" s="822"/>
      <c r="B6" s="756" t="s">
        <v>360</v>
      </c>
      <c r="C6" s="823" t="s">
        <v>1074</v>
      </c>
      <c r="D6" s="757">
        <v>0</v>
      </c>
      <c r="E6" s="757">
        <v>1</v>
      </c>
      <c r="F6" s="757">
        <v>2</v>
      </c>
      <c r="G6" s="757">
        <v>3</v>
      </c>
      <c r="H6" s="757">
        <v>4</v>
      </c>
      <c r="I6" s="757">
        <v>5</v>
      </c>
      <c r="J6" s="757">
        <v>6</v>
      </c>
      <c r="K6" s="757">
        <v>7</v>
      </c>
      <c r="L6" s="757">
        <v>8</v>
      </c>
      <c r="M6" s="757">
        <v>9</v>
      </c>
      <c r="N6" s="757">
        <v>10</v>
      </c>
      <c r="O6" s="757">
        <v>11</v>
      </c>
      <c r="P6" s="757">
        <v>12</v>
      </c>
      <c r="Q6" s="757">
        <v>13</v>
      </c>
      <c r="R6" s="757">
        <v>14</v>
      </c>
      <c r="S6" s="757">
        <v>15</v>
      </c>
      <c r="T6" s="757">
        <v>16</v>
      </c>
      <c r="U6" s="757">
        <v>17</v>
      </c>
      <c r="V6" s="757">
        <v>18</v>
      </c>
      <c r="W6" s="757">
        <v>19</v>
      </c>
      <c r="X6" s="757">
        <v>20</v>
      </c>
      <c r="Y6" s="757">
        <v>21</v>
      </c>
      <c r="Z6" s="757">
        <v>22</v>
      </c>
      <c r="AA6" s="757">
        <v>23</v>
      </c>
      <c r="AB6" s="757">
        <v>24</v>
      </c>
      <c r="AC6" s="757">
        <v>25</v>
      </c>
    </row>
    <row r="7" spans="1:29" ht="15" customHeight="1" x14ac:dyDescent="0.25">
      <c r="A7" s="1034" t="s">
        <v>1312</v>
      </c>
      <c r="B7" s="824" t="s">
        <v>1313</v>
      </c>
      <c r="C7" s="825">
        <f t="shared" ref="C7:C23" si="0">SUM(D7:AB7)</f>
        <v>0</v>
      </c>
      <c r="D7" s="826"/>
      <c r="E7" s="826"/>
      <c r="F7" s="826"/>
      <c r="G7" s="826"/>
      <c r="H7" s="826"/>
      <c r="I7" s="826"/>
      <c r="J7" s="826"/>
      <c r="K7" s="826"/>
      <c r="L7" s="826"/>
      <c r="M7" s="826"/>
      <c r="N7" s="826"/>
      <c r="O7" s="826"/>
      <c r="P7" s="826"/>
      <c r="Q7" s="826"/>
      <c r="R7" s="826"/>
      <c r="S7" s="826"/>
      <c r="T7" s="826"/>
      <c r="U7" s="826"/>
      <c r="V7" s="826"/>
      <c r="W7" s="826"/>
      <c r="X7" s="826"/>
      <c r="Y7" s="826"/>
      <c r="Z7" s="826"/>
      <c r="AA7" s="826"/>
      <c r="AB7" s="826"/>
      <c r="AC7" s="826"/>
    </row>
    <row r="8" spans="1:29" hidden="1" x14ac:dyDescent="0.25">
      <c r="A8" s="1034"/>
      <c r="B8" s="827" t="s">
        <v>1314</v>
      </c>
      <c r="C8" s="828">
        <f t="shared" si="0"/>
        <v>0</v>
      </c>
      <c r="D8" s="829"/>
      <c r="E8" s="829"/>
      <c r="F8" s="829"/>
      <c r="G8" s="829"/>
      <c r="H8" s="829"/>
      <c r="I8" s="829"/>
      <c r="J8" s="829"/>
      <c r="K8" s="829"/>
      <c r="L8" s="829"/>
      <c r="M8" s="829"/>
      <c r="N8" s="829"/>
      <c r="O8" s="829"/>
      <c r="P8" s="829"/>
      <c r="Q8" s="829"/>
      <c r="R8" s="829"/>
      <c r="S8" s="829"/>
      <c r="T8" s="829"/>
      <c r="U8" s="829"/>
      <c r="V8" s="829"/>
      <c r="W8" s="829"/>
      <c r="X8" s="829"/>
      <c r="Y8" s="829"/>
      <c r="Z8" s="829"/>
      <c r="AA8" s="829"/>
      <c r="AB8" s="829"/>
      <c r="AC8" s="829"/>
    </row>
    <row r="9" spans="1:29" x14ac:dyDescent="0.25">
      <c r="A9" s="1034"/>
      <c r="B9" s="830" t="s">
        <v>1270</v>
      </c>
      <c r="C9" s="831">
        <f t="shared" si="0"/>
        <v>0</v>
      </c>
      <c r="D9" s="832">
        <f>IF(D6&gt;'Resultados_Tarifa e TIR'!$B$12,"",-C3*C4*0.2)</f>
        <v>0</v>
      </c>
      <c r="E9" s="832">
        <f>-C3*C4*0.8/9</f>
        <v>0</v>
      </c>
      <c r="F9" s="832">
        <f t="shared" ref="F9:M9" si="1">E9</f>
        <v>0</v>
      </c>
      <c r="G9" s="832">
        <f t="shared" si="1"/>
        <v>0</v>
      </c>
      <c r="H9" s="832">
        <f t="shared" si="1"/>
        <v>0</v>
      </c>
      <c r="I9" s="832">
        <f t="shared" si="1"/>
        <v>0</v>
      </c>
      <c r="J9" s="832">
        <f t="shared" si="1"/>
        <v>0</v>
      </c>
      <c r="K9" s="832">
        <f t="shared" si="1"/>
        <v>0</v>
      </c>
      <c r="L9" s="832">
        <f t="shared" si="1"/>
        <v>0</v>
      </c>
      <c r="M9" s="832">
        <f t="shared" si="1"/>
        <v>0</v>
      </c>
      <c r="N9" s="832"/>
      <c r="O9" s="832"/>
      <c r="P9" s="832"/>
      <c r="Q9" s="832"/>
      <c r="R9" s="832"/>
      <c r="S9" s="832"/>
      <c r="T9" s="832"/>
      <c r="U9" s="832"/>
      <c r="V9" s="832"/>
      <c r="W9" s="832"/>
      <c r="X9" s="832"/>
      <c r="Y9" s="832"/>
      <c r="Z9" s="832"/>
      <c r="AA9" s="832"/>
      <c r="AB9" s="832"/>
      <c r="AC9" s="832"/>
    </row>
    <row r="10" spans="1:29" x14ac:dyDescent="0.25">
      <c r="A10" s="1034"/>
      <c r="B10" s="824" t="s">
        <v>1315</v>
      </c>
      <c r="C10" s="941">
        <f ca="1">SUM(D10:AB10)</f>
        <v>-7734500.0814545462</v>
      </c>
      <c r="D10" s="826">
        <f ca="1">IF(D6&gt;'Resultados_Tarifa e TIR'!$B$12,"",OFFSET('Ent_Plano Renovação Frota'!$O$29,(FC_CAPEX!D$6)*25,0)*-1)</f>
        <v>-1915937.5214545459</v>
      </c>
      <c r="E10" s="826">
        <f ca="1">IF(E6&gt;'Resultados_Tarifa e TIR'!$B$12,"",OFFSET('Ent_Plano Renovação Frota'!$O$29,(FC_CAPEX!E$6)*25,0)*-1)</f>
        <v>0</v>
      </c>
      <c r="F10" s="826">
        <f ca="1">IF(F6&gt;'Resultados_Tarifa e TIR'!$B$12,"",OFFSET('Ent_Plano Renovação Frota'!$O$29,(FC_CAPEX!F$6)*25,0)*-1)</f>
        <v>-793440.34909090912</v>
      </c>
      <c r="G10" s="826">
        <f ca="1">IF(G6&gt;'Resultados_Tarifa e TIR'!$B$12,"",OFFSET('Ent_Plano Renovação Frota'!$O$29,(FC_CAPEX!G$6)*25,0)*-1)</f>
        <v>0</v>
      </c>
      <c r="H10" s="826">
        <f ca="1">IF(H6&gt;'Resultados_Tarifa e TIR'!$B$12,"",OFFSET('Ent_Plano Renovação Frota'!$O$29,(FC_CAPEX!H$6)*25,0)*-1)</f>
        <v>-793440.34909090912</v>
      </c>
      <c r="I10" s="826">
        <f ca="1">IF(I6&gt;'Resultados_Tarifa e TIR'!$B$12,"",OFFSET('Ent_Plano Renovação Frota'!$O$29,(FC_CAPEX!I$6)*25,0)*-1)</f>
        <v>-264480.11636363639</v>
      </c>
      <c r="J10" s="826">
        <f ca="1">IF(J6&gt;'Resultados_Tarifa e TIR'!$B$12,"",OFFSET('Ent_Plano Renovação Frota'!$O$29,(FC_CAPEX!J$6)*25,0)*-1)</f>
        <v>-528960.23272727279</v>
      </c>
      <c r="K10" s="826">
        <f ca="1">IF(K6&gt;'Resultados_Tarifa e TIR'!$B$12,"",OFFSET('Ent_Plano Renovação Frota'!$O$29,(FC_CAPEX!K$6)*25,0)*-1)</f>
        <v>-528960.23272727279</v>
      </c>
      <c r="L10" s="826">
        <f ca="1">IF(L6&gt;'Resultados_Tarifa e TIR'!$B$12,"",OFFSET('Ent_Plano Renovação Frota'!$O$29,(FC_CAPEX!L$6)*25,0)*-1)</f>
        <v>-528960.23272727279</v>
      </c>
      <c r="M10" s="826">
        <f ca="1">IF(M6&gt;'Resultados_Tarifa e TIR'!$B$12,"",OFFSET('Ent_Plano Renovação Frota'!$O$29,(FC_CAPEX!M$6)*25,0)*-1)</f>
        <v>0</v>
      </c>
      <c r="N10" s="826">
        <f ca="1">IF(N6&gt;'Resultados_Tarifa e TIR'!$B$12,"",OFFSET('Ent_Plano Renovação Frota'!$O$29,(FC_CAPEX!N$6)*25,0)*-1)</f>
        <v>-793440.34909090912</v>
      </c>
      <c r="O10" s="826">
        <f ca="1">IF(O6&gt;'Resultados_Tarifa e TIR'!$B$12,"",OFFSET('Ent_Plano Renovação Frota'!$O$29,(FC_CAPEX!O$6)*25,0)*-1)</f>
        <v>-264480.11636363639</v>
      </c>
      <c r="P10" s="826">
        <f ca="1">IF(P6&gt;'Resultados_Tarifa e TIR'!$B$12,"",OFFSET('Ent_Plano Renovação Frota'!$O$29,(FC_CAPEX!P$6)*25,0)*-1)</f>
        <v>-264480.11636363639</v>
      </c>
      <c r="Q10" s="826">
        <f ca="1">IF(Q6&gt;'Resultados_Tarifa e TIR'!$B$12,"",OFFSET('Ent_Plano Renovação Frota'!$O$29,(FC_CAPEX!Q$6)*25,0)*-1)</f>
        <v>-1057920.4654545456</v>
      </c>
      <c r="R10" s="826">
        <f ca="1">IF(R6&gt;'Resultados_Tarifa e TIR'!$B$12,"",OFFSET('Ent_Plano Renovação Frota'!$O$29,(FC_CAPEX!R$6)*25,0)*-1)</f>
        <v>0</v>
      </c>
      <c r="S10" s="826">
        <f ca="1">IF(S6&gt;'Resultados_Tarifa e TIR'!$B$12,"",OFFSET('Ent_Plano Renovação Frota'!$O$29,(FC_CAPEX!S$6)*25,0)*-1)</f>
        <v>0</v>
      </c>
      <c r="T10" s="826" t="str">
        <f ca="1">IF(T6&gt;'Resultados_Tarifa e TIR'!$B$12,"",OFFSET('Ent_Plano Renovação Frota'!$O$29,(FC_CAPEX!T$6)*25,0)*-1)</f>
        <v/>
      </c>
      <c r="U10" s="826" t="str">
        <f ca="1">IF(U6&gt;'Resultados_Tarifa e TIR'!$B$12,"",OFFSET('Ent_Plano Renovação Frota'!$O$29,(FC_CAPEX!U$6)*25,0)*-1)</f>
        <v/>
      </c>
      <c r="V10" s="826" t="str">
        <f ca="1">IF(V6&gt;'Resultados_Tarifa e TIR'!$B$12,"",OFFSET('Ent_Plano Renovação Frota'!$O$29,(FC_CAPEX!V$6)*25,0)*-1)</f>
        <v/>
      </c>
      <c r="W10" s="826" t="str">
        <f ca="1">IF(W6&gt;'Resultados_Tarifa e TIR'!$B$12,"",OFFSET('Ent_Plano Renovação Frota'!$O$29,(FC_CAPEX!W$6)*25,0)*-1)</f>
        <v/>
      </c>
      <c r="X10" s="826" t="str">
        <f ca="1">IF(X6&gt;'Resultados_Tarifa e TIR'!$B$12,"",OFFSET('Ent_Plano Renovação Frota'!$O$29,(FC_CAPEX!X$6)*25,0)*-1)</f>
        <v/>
      </c>
      <c r="Y10" s="826" t="str">
        <f ca="1">IF(Y6&gt;'Resultados_Tarifa e TIR'!$B$12,"",OFFSET('Ent_Plano Renovação Frota'!$O$29,(FC_CAPEX!Y$6)*25,0)*-1)</f>
        <v/>
      </c>
      <c r="Z10" s="826" t="str">
        <f ca="1">IF(Z6&gt;'Resultados_Tarifa e TIR'!$B$12,"",OFFSET('Ent_Plano Renovação Frota'!$O$29,(FC_CAPEX!Z$6)*25,0)*-1)</f>
        <v/>
      </c>
      <c r="AA10" s="826" t="str">
        <f ca="1">IF(AA6&gt;'Resultados_Tarifa e TIR'!$B$12,"",OFFSET('Ent_Plano Renovação Frota'!$O$29,(FC_CAPEX!AA$6)*25,0)*-1)</f>
        <v/>
      </c>
      <c r="AB10" s="826" t="str">
        <f ca="1">IF(AB6&gt;'Resultados_Tarifa e TIR'!$B$12,"",OFFSET('Ent_Plano Renovação Frota'!$O$29,(FC_CAPEX!AB$6)*25,0)*-1)</f>
        <v/>
      </c>
      <c r="AC10" s="826" t="str">
        <f ca="1">IF(AC6&gt;'Resultados_Tarifa e TIR'!$B$12,"",OFFSET('Ent_Plano Renovação Frota'!$O$29,(FC_CAPEX!AC$6)*25,0)*-1)</f>
        <v/>
      </c>
    </row>
    <row r="11" spans="1:29" x14ac:dyDescent="0.25">
      <c r="A11" s="1034"/>
      <c r="B11" s="827" t="s">
        <v>1316</v>
      </c>
      <c r="C11" s="828">
        <f t="shared" si="0"/>
        <v>-260647.2</v>
      </c>
      <c r="D11" s="829">
        <f>IF(D6&gt;'Resultados_Tarifa e TIR'!$B$12,"",-Ent_Geral!D77)</f>
        <v>-260647.2</v>
      </c>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row>
    <row r="12" spans="1:29" x14ac:dyDescent="0.25">
      <c r="A12" s="1034"/>
      <c r="B12" s="827" t="s">
        <v>1307</v>
      </c>
      <c r="C12" s="828">
        <f t="shared" si="0"/>
        <v>-262382.87</v>
      </c>
      <c r="D12" s="829">
        <f>IF(D6&gt;'Resultados_Tarifa e TIR'!$B$12,"",-Ent_Geral!D78)</f>
        <v>-262382.87</v>
      </c>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row>
    <row r="13" spans="1:29" x14ac:dyDescent="0.25">
      <c r="A13" s="1034"/>
      <c r="B13" s="827" t="s">
        <v>1308</v>
      </c>
      <c r="C13" s="828">
        <f t="shared" si="0"/>
        <v>-178876.02</v>
      </c>
      <c r="D13" s="829">
        <f>IF(D$6&gt;'Resultados_Tarifa e TIR'!$B$12,"",D26)</f>
        <v>-89438.01</v>
      </c>
      <c r="E13" s="829">
        <f>IF(E$6&gt;'Resultados_Tarifa e TIR'!$B$12,"",E26)</f>
        <v>0</v>
      </c>
      <c r="F13" s="829">
        <f>IF(F$6&gt;'Resultados_Tarifa e TIR'!$B$12,"",F26)</f>
        <v>0</v>
      </c>
      <c r="G13" s="829">
        <f>IF(G$6&gt;'Resultados_Tarifa e TIR'!$B$12,"",G26)</f>
        <v>0</v>
      </c>
      <c r="H13" s="829">
        <f>IF(H$6&gt;'Resultados_Tarifa e TIR'!$B$12,"",H26)</f>
        <v>0</v>
      </c>
      <c r="I13" s="829">
        <f>IF(I$6&gt;'Resultados_Tarifa e TIR'!$B$12,"",I26)</f>
        <v>0</v>
      </c>
      <c r="J13" s="829">
        <f>IF(J$6&gt;'Resultados_Tarifa e TIR'!$B$12,"",J26)</f>
        <v>0</v>
      </c>
      <c r="K13" s="829">
        <f>IF(K$6&gt;'Resultados_Tarifa e TIR'!$B$12,"",K26)</f>
        <v>0</v>
      </c>
      <c r="L13" s="829">
        <f>IF(L$6&gt;'Resultados_Tarifa e TIR'!$B$12,"",L26)</f>
        <v>0</v>
      </c>
      <c r="M13" s="829">
        <f>IF(M$6&gt;'Resultados_Tarifa e TIR'!$B$12,"",M26)</f>
        <v>0</v>
      </c>
      <c r="N13" s="829">
        <f>IF(N$6&gt;'Resultados_Tarifa e TIR'!$B$12,"",N26)</f>
        <v>-89438.01</v>
      </c>
      <c r="O13" s="829">
        <f>IF(O$6&gt;'Resultados_Tarifa e TIR'!$B$12,"",O26)</f>
        <v>0</v>
      </c>
      <c r="P13" s="829">
        <f>IF(P$6&gt;'Resultados_Tarifa e TIR'!$B$12,"",P26)</f>
        <v>0</v>
      </c>
      <c r="Q13" s="829">
        <f>IF(Q$6&gt;'Resultados_Tarifa e TIR'!$B$12,"",Q26)</f>
        <v>0</v>
      </c>
      <c r="R13" s="829">
        <f>IF(R$6&gt;'Resultados_Tarifa e TIR'!$B$12,"",R26)</f>
        <v>0</v>
      </c>
      <c r="S13" s="829">
        <f>IF(S$6&gt;'Resultados_Tarifa e TIR'!$B$12,"",S26)</f>
        <v>0</v>
      </c>
      <c r="T13" s="829" t="str">
        <f>IF(T$6&gt;'Resultados_Tarifa e TIR'!$B$12,"",T26)</f>
        <v/>
      </c>
      <c r="U13" s="829" t="str">
        <f>IF(U$6&gt;'Resultados_Tarifa e TIR'!$B$12,"",U26)</f>
        <v/>
      </c>
      <c r="V13" s="829" t="str">
        <f>IF(V$6&gt;'Resultados_Tarifa e TIR'!$B$12,"",V26)</f>
        <v/>
      </c>
      <c r="W13" s="829" t="str">
        <f>IF(W$6&gt;'Resultados_Tarifa e TIR'!$B$12,"",W26)</f>
        <v/>
      </c>
      <c r="X13" s="829" t="str">
        <f>IF(X$6&gt;'Resultados_Tarifa e TIR'!$B$12,"",X26)</f>
        <v/>
      </c>
      <c r="Y13" s="829" t="str">
        <f>IF(Y$6&gt;'Resultados_Tarifa e TIR'!$B$12,"",Y26)</f>
        <v/>
      </c>
      <c r="Z13" s="829" t="str">
        <f>IF(Z$6&gt;'Resultados_Tarifa e TIR'!$B$12,"",Z26)</f>
        <v/>
      </c>
      <c r="AA13" s="829" t="str">
        <f>IF(AA$6&gt;'Resultados_Tarifa e TIR'!$B$12,"",AA26)</f>
        <v/>
      </c>
      <c r="AB13" s="829" t="str">
        <f>IF(AB$6&gt;'Resultados_Tarifa e TIR'!$B$12,"",AB26)</f>
        <v/>
      </c>
      <c r="AC13" s="829" t="str">
        <f>IF(AC$6&gt;'Resultados_Tarifa e TIR'!$B$12,"",AC26)</f>
        <v/>
      </c>
    </row>
    <row r="14" spans="1:29" x14ac:dyDescent="0.25">
      <c r="A14" s="1034"/>
      <c r="B14" s="827" t="s">
        <v>1309</v>
      </c>
      <c r="C14" s="828">
        <f t="shared" si="0"/>
        <v>-977050.79999999993</v>
      </c>
      <c r="D14" s="829">
        <f>IF(D$6&gt;'Resultados_Tarifa e TIR'!$B$12,"",D27)</f>
        <v>-325683.59999999998</v>
      </c>
      <c r="E14" s="829">
        <f>IF(E$6&gt;'Resultados_Tarifa e TIR'!$B$12,"",E27)</f>
        <v>0</v>
      </c>
      <c r="F14" s="829">
        <f>IF(F$6&gt;'Resultados_Tarifa e TIR'!$B$12,"",F27)</f>
        <v>0</v>
      </c>
      <c r="G14" s="829">
        <f>IF(G$6&gt;'Resultados_Tarifa e TIR'!$B$12,"",G27)</f>
        <v>0</v>
      </c>
      <c r="H14" s="829">
        <f>IF(H$6&gt;'Resultados_Tarifa e TIR'!$B$12,"",H27)</f>
        <v>0</v>
      </c>
      <c r="I14" s="829">
        <f>IF(I$6&gt;'Resultados_Tarifa e TIR'!$B$12,"",I27)</f>
        <v>-325683.59999999998</v>
      </c>
      <c r="J14" s="829">
        <f>IF(J$6&gt;'Resultados_Tarifa e TIR'!$B$12,"",J27)</f>
        <v>0</v>
      </c>
      <c r="K14" s="829">
        <f>IF(K$6&gt;'Resultados_Tarifa e TIR'!$B$12,"",K27)</f>
        <v>0</v>
      </c>
      <c r="L14" s="829">
        <f>IF(L$6&gt;'Resultados_Tarifa e TIR'!$B$12,"",L27)</f>
        <v>0</v>
      </c>
      <c r="M14" s="829">
        <f>IF(M$6&gt;'Resultados_Tarifa e TIR'!$B$12,"",M27)</f>
        <v>0</v>
      </c>
      <c r="N14" s="829">
        <f>IF(N$6&gt;'Resultados_Tarifa e TIR'!$B$12,"",N27)</f>
        <v>-325683.59999999998</v>
      </c>
      <c r="O14" s="829">
        <f>IF(O$6&gt;'Resultados_Tarifa e TIR'!$B$12,"",O27)</f>
        <v>0</v>
      </c>
      <c r="P14" s="829">
        <f>IF(P$6&gt;'Resultados_Tarifa e TIR'!$B$12,"",P27)</f>
        <v>0</v>
      </c>
      <c r="Q14" s="829">
        <f>IF(Q$6&gt;'Resultados_Tarifa e TIR'!$B$12,"",Q27)</f>
        <v>0</v>
      </c>
      <c r="R14" s="829">
        <f>IF(R$6&gt;'Resultados_Tarifa e TIR'!$B$12,"",R27)</f>
        <v>0</v>
      </c>
      <c r="S14" s="829">
        <f>IF(S$6&gt;'Resultados_Tarifa e TIR'!$B$12,"",S27)</f>
        <v>0</v>
      </c>
      <c r="T14" s="829" t="str">
        <f>IF(T$6&gt;'Resultados_Tarifa e TIR'!$B$12,"",T27)</f>
        <v/>
      </c>
      <c r="U14" s="829" t="str">
        <f>IF(U$6&gt;'Resultados_Tarifa e TIR'!$B$12,"",U27)</f>
        <v/>
      </c>
      <c r="V14" s="829" t="str">
        <f>IF(V$6&gt;'Resultados_Tarifa e TIR'!$B$12,"",V27)</f>
        <v/>
      </c>
      <c r="W14" s="829" t="str">
        <f>IF(W$6&gt;'Resultados_Tarifa e TIR'!$B$12,"",W27)</f>
        <v/>
      </c>
      <c r="X14" s="829" t="str">
        <f>IF(X$6&gt;'Resultados_Tarifa e TIR'!$B$12,"",X27)</f>
        <v/>
      </c>
      <c r="Y14" s="829" t="str">
        <f>IF(Y$6&gt;'Resultados_Tarifa e TIR'!$B$12,"",Y27)</f>
        <v/>
      </c>
      <c r="Z14" s="829" t="str">
        <f>IF(Z$6&gt;'Resultados_Tarifa e TIR'!$B$12,"",Z27)</f>
        <v/>
      </c>
      <c r="AA14" s="829" t="str">
        <f>IF(AA$6&gt;'Resultados_Tarifa e TIR'!$B$12,"",AA27)</f>
        <v/>
      </c>
      <c r="AB14" s="829" t="str">
        <f>IF(AB$6&gt;'Resultados_Tarifa e TIR'!$B$12,"",AB27)</f>
        <v/>
      </c>
      <c r="AC14" s="829" t="str">
        <f>IF(AC$6&gt;'Resultados_Tarifa e TIR'!$B$12,"",AC27)</f>
        <v/>
      </c>
    </row>
    <row r="15" spans="1:29" x14ac:dyDescent="0.25">
      <c r="A15" s="1034"/>
      <c r="B15" s="830" t="s">
        <v>139</v>
      </c>
      <c r="C15" s="942">
        <f t="shared" si="0"/>
        <v>-35000</v>
      </c>
      <c r="D15" s="832">
        <f>IF(D$6&gt;'Resultados_Tarifa e TIR'!$B$12,"",D28)</f>
        <v>-35000</v>
      </c>
      <c r="E15" s="832">
        <f>IF(E$6&gt;'Resultados_Tarifa e TIR'!$B$12,"",E28)</f>
        <v>0</v>
      </c>
      <c r="F15" s="832">
        <f>IF(F$6&gt;'Resultados_Tarifa e TIR'!$B$12,"",F28)</f>
        <v>0</v>
      </c>
      <c r="G15" s="832">
        <f>IF(G$6&gt;'Resultados_Tarifa e TIR'!$B$12,"",G28)</f>
        <v>0</v>
      </c>
      <c r="H15" s="832">
        <f>IF(H$6&gt;'Resultados_Tarifa e TIR'!$B$12,"",H28)</f>
        <v>0</v>
      </c>
      <c r="I15" s="832">
        <f>IF(I$6&gt;'Resultados_Tarifa e TIR'!$B$12,"",I28)</f>
        <v>0</v>
      </c>
      <c r="J15" s="832">
        <f>IF(J$6&gt;'Resultados_Tarifa e TIR'!$B$12,"",J28)</f>
        <v>0</v>
      </c>
      <c r="K15" s="832">
        <f>IF(K$6&gt;'Resultados_Tarifa e TIR'!$B$12,"",K28)</f>
        <v>0</v>
      </c>
      <c r="L15" s="832">
        <f>IF(L$6&gt;'Resultados_Tarifa e TIR'!$B$12,"",L28)</f>
        <v>0</v>
      </c>
      <c r="M15" s="832">
        <f>IF(M$6&gt;'Resultados_Tarifa e TIR'!$B$12,"",M28)</f>
        <v>0</v>
      </c>
      <c r="N15" s="832">
        <f>IF(N$6&gt;'Resultados_Tarifa e TIR'!$B$12,"",N28)</f>
        <v>0</v>
      </c>
      <c r="O15" s="832">
        <f>IF(O$6&gt;'Resultados_Tarifa e TIR'!$B$12,"",O28)</f>
        <v>0</v>
      </c>
      <c r="P15" s="832">
        <f>IF(P$6&gt;'Resultados_Tarifa e TIR'!$B$12,"",P28)</f>
        <v>0</v>
      </c>
      <c r="Q15" s="832">
        <f>IF(Q$6&gt;'Resultados_Tarifa e TIR'!$B$12,"",Q28)</f>
        <v>0</v>
      </c>
      <c r="R15" s="832">
        <f>IF(R$6&gt;'Resultados_Tarifa e TIR'!$B$12,"",R28)</f>
        <v>0</v>
      </c>
      <c r="S15" s="832">
        <f>IF(S$6&gt;'Resultados_Tarifa e TIR'!$B$12,"",S28)</f>
        <v>0</v>
      </c>
      <c r="T15" s="832" t="str">
        <f>IF(T$6&gt;'Resultados_Tarifa e TIR'!$B$12,"",T28)</f>
        <v/>
      </c>
      <c r="U15" s="832" t="str">
        <f>IF(U$6&gt;'Resultados_Tarifa e TIR'!$B$12,"",U28)</f>
        <v/>
      </c>
      <c r="V15" s="832" t="str">
        <f>IF(V$6&gt;'Resultados_Tarifa e TIR'!$B$12,"",V28)</f>
        <v/>
      </c>
      <c r="W15" s="832" t="str">
        <f>IF(W$6&gt;'Resultados_Tarifa e TIR'!$B$12,"",W28)</f>
        <v/>
      </c>
      <c r="X15" s="832" t="str">
        <f>IF(X$6&gt;'Resultados_Tarifa e TIR'!$B$12,"",X28)</f>
        <v/>
      </c>
      <c r="Y15" s="832" t="str">
        <f>IF(Y$6&gt;'Resultados_Tarifa e TIR'!$B$12,"",Y28)</f>
        <v/>
      </c>
      <c r="Z15" s="832" t="str">
        <f>IF(Z$6&gt;'Resultados_Tarifa e TIR'!$B$12,"",Z28)</f>
        <v/>
      </c>
      <c r="AA15" s="832" t="str">
        <f>IF(AA$6&gt;'Resultados_Tarifa e TIR'!$B$12,"",AA28)</f>
        <v/>
      </c>
      <c r="AB15" s="832" t="str">
        <f>IF(AB$6&gt;'Resultados_Tarifa e TIR'!$B$12,"",AB28)</f>
        <v/>
      </c>
      <c r="AC15" s="832" t="str">
        <f>IF(AC$6&gt;'Resultados_Tarifa e TIR'!$B$12,"",AC28)</f>
        <v/>
      </c>
    </row>
    <row r="16" spans="1:29" x14ac:dyDescent="0.25">
      <c r="A16" s="1034"/>
      <c r="B16" s="824" t="s">
        <v>1317</v>
      </c>
      <c r="C16" s="825">
        <f t="shared" ca="1" si="0"/>
        <v>3138789.1985454564</v>
      </c>
      <c r="D16" s="826">
        <f ca="1">IF(D6&gt;'Resultados_Tarifa e TIR'!$B$12+1,"",OFFSET('Ent_Plano Renovação Frota'!$P$29,(FC_CAPEX!D$6)*25,0)+IF((D6)=FC_Premissas!$C$4,'Ent_Plano Renovação Frota'!$P$654,0))</f>
        <v>0</v>
      </c>
      <c r="E16" s="826">
        <f ca="1">IF(E6&gt;'Resultados_Tarifa e TIR'!$B$12+1,"",OFFSET('Ent_Plano Renovação Frota'!$P$29,(FC_CAPEX!E$6)*25,0)+IF((E6)=FC_Premissas!$C$4,'Ent_Plano Renovação Frota'!$P$654,0))</f>
        <v>0</v>
      </c>
      <c r="F16" s="826">
        <f ca="1">IF(F6&gt;'Resultados_Tarifa e TIR'!$B$12+1,"",OFFSET('Ent_Plano Renovação Frota'!$P$29,(FC_CAPEX!F$6)*25,0)+IF((F6)=FC_Premissas!$C$4,'Ent_Plano Renovação Frota'!$P$654,0))</f>
        <v>254880.48000000019</v>
      </c>
      <c r="G16" s="826">
        <f ca="1">IF(G6&gt;'Resultados_Tarifa e TIR'!$B$12+1,"",OFFSET('Ent_Plano Renovação Frota'!$P$29,(FC_CAPEX!G$6)*25,0)+IF((G6)=FC_Premissas!$C$4,'Ent_Plano Renovação Frota'!$P$654,0))</f>
        <v>0</v>
      </c>
      <c r="H16" s="826">
        <f ca="1">IF(H6&gt;'Resultados_Tarifa e TIR'!$B$12+1,"",OFFSET('Ent_Plano Renovação Frota'!$P$29,(FC_CAPEX!H$6)*25,0)+IF((H6)=FC_Premissas!$C$4,'Ent_Plano Renovação Frota'!$P$654,0))</f>
        <v>254880.48000000019</v>
      </c>
      <c r="I16" s="826">
        <f ca="1">IF(I6&gt;'Resultados_Tarifa e TIR'!$B$12+1,"",OFFSET('Ent_Plano Renovação Frota'!$P$29,(FC_CAPEX!I$6)*25,0)+IF((I6)=FC_Premissas!$C$4,'Ent_Plano Renovação Frota'!$P$654,0))</f>
        <v>84960.160000000062</v>
      </c>
      <c r="J16" s="826">
        <f ca="1">IF(J6&gt;'Resultados_Tarifa e TIR'!$B$12+1,"",OFFSET('Ent_Plano Renovação Frota'!$P$29,(FC_CAPEX!J$6)*25,0)+IF((J6)=FC_Premissas!$C$4,'Ent_Plano Renovação Frota'!$P$654,0))</f>
        <v>169920.32000000012</v>
      </c>
      <c r="K16" s="826">
        <f ca="1">IF(K6&gt;'Resultados_Tarifa e TIR'!$B$12+1,"",OFFSET('Ent_Plano Renovação Frota'!$P$29,(FC_CAPEX!K$6)*25,0)+IF((K6)=FC_Premissas!$C$4,'Ent_Plano Renovação Frota'!$P$654,0))</f>
        <v>169920.32000000012</v>
      </c>
      <c r="L16" s="826">
        <f ca="1">IF(L6&gt;'Resultados_Tarifa e TIR'!$B$12+1,"",OFFSET('Ent_Plano Renovação Frota'!$P$29,(FC_CAPEX!L$6)*25,0)+IF((L6)=FC_Premissas!$C$4,'Ent_Plano Renovação Frota'!$P$654,0))</f>
        <v>169920.32000000012</v>
      </c>
      <c r="M16" s="826">
        <f ca="1">IF(M6&gt;'Resultados_Tarifa e TIR'!$B$12+1,"",OFFSET('Ent_Plano Renovação Frota'!$P$29,(FC_CAPEX!M$6)*25,0)+IF((M6)=FC_Premissas!$C$4,'Ent_Plano Renovação Frota'!$P$654,0))</f>
        <v>0</v>
      </c>
      <c r="N16" s="826">
        <f ca="1">IF(N6&gt;'Resultados_Tarifa e TIR'!$B$12+1,"",OFFSET('Ent_Plano Renovação Frota'!$P$29,(FC_CAPEX!N$6)*25,0)+IF((N6)=FC_Premissas!$C$4,'Ent_Plano Renovação Frota'!$P$654,0))</f>
        <v>254880.48000000019</v>
      </c>
      <c r="O16" s="826">
        <f ca="1">IF(O6&gt;'Resultados_Tarifa e TIR'!$B$12+1,"",OFFSET('Ent_Plano Renovação Frota'!$P$29,(FC_CAPEX!O$6)*25,0)+IF((O6)=FC_Premissas!$C$4,'Ent_Plano Renovação Frota'!$P$654,0))</f>
        <v>84960.160000000062</v>
      </c>
      <c r="P16" s="826">
        <f ca="1">IF(P6&gt;'Resultados_Tarifa e TIR'!$B$12+1,"",OFFSET('Ent_Plano Renovação Frota'!$P$29,(FC_CAPEX!P$6)*25,0)+IF((P6)=FC_Premissas!$C$4,'Ent_Plano Renovação Frota'!$P$654,0))</f>
        <v>84960.160000000062</v>
      </c>
      <c r="Q16" s="826">
        <f ca="1">IF(Q6&gt;'Resultados_Tarifa e TIR'!$B$12+1,"",OFFSET('Ent_Plano Renovação Frota'!$P$29,(FC_CAPEX!Q$6)*25,0)+IF((Q6)=FC_Premissas!$C$4,'Ent_Plano Renovação Frota'!$P$654,0))</f>
        <v>339840.64000000025</v>
      </c>
      <c r="R16" s="826">
        <f ca="1">IF(R6&gt;'Resultados_Tarifa e TIR'!$B$12+1,"",OFFSET('Ent_Plano Renovação Frota'!$P$29,(FC_CAPEX!R$6)*25,0)+IF((R6)=FC_Premissas!$C$4,'Ent_Plano Renovação Frota'!$P$654,0))</f>
        <v>0</v>
      </c>
      <c r="S16" s="826">
        <f ca="1">IF(S6&gt;'Resultados_Tarifa e TIR'!$B$12+1,"",OFFSET('Ent_Plano Renovação Frota'!$P$29,(FC_CAPEX!S$6)*25,0)+IF((S6)=FC_Premissas!$C$4,'Ent_Plano Renovação Frota'!$P$654,0))</f>
        <v>1269665.678545455</v>
      </c>
      <c r="T16" s="826">
        <f ca="1">IF(T6&gt;'Resultados_Tarifa e TIR'!$B$12+1,"",OFFSET('Ent_Plano Renovação Frota'!$P$29,(FC_CAPEX!T$6)*25,0)+IF((T6)=FC_Premissas!$C$4,'Ent_Plano Renovação Frota'!$P$654,0))</f>
        <v>0</v>
      </c>
      <c r="U16" s="826" t="str">
        <f ca="1">IF(U6&gt;'Resultados_Tarifa e TIR'!$B$12+1,"",OFFSET('Ent_Plano Renovação Frota'!$P$29,(FC_CAPEX!U$6)*25,0)+IF((U6)=FC_Premissas!$C$4,'Ent_Plano Renovação Frota'!$P$654,0))</f>
        <v/>
      </c>
      <c r="V16" s="826" t="str">
        <f ca="1">IF(V6&gt;'Resultados_Tarifa e TIR'!$B$12+1,"",OFFSET('Ent_Plano Renovação Frota'!$P$29,(FC_CAPEX!V$6)*25,0)+IF((V6)=FC_Premissas!$C$4,'Ent_Plano Renovação Frota'!$P$654,0))</f>
        <v/>
      </c>
      <c r="W16" s="826" t="str">
        <f ca="1">IF(W6&gt;'Resultados_Tarifa e TIR'!$B$12+1,"",OFFSET('Ent_Plano Renovação Frota'!$P$29,(FC_CAPEX!W$6)*25,0)+IF((W6)=FC_Premissas!$C$4,'Ent_Plano Renovação Frota'!$P$654,0))</f>
        <v/>
      </c>
      <c r="X16" s="826" t="str">
        <f ca="1">IF(X6&gt;'Resultados_Tarifa e TIR'!$B$12+1,"",OFFSET('Ent_Plano Renovação Frota'!$P$29,(FC_CAPEX!X$6)*25,0)+IF((X6)=FC_Premissas!$C$4,'Ent_Plano Renovação Frota'!$P$654,0))</f>
        <v/>
      </c>
      <c r="Y16" s="826" t="str">
        <f ca="1">IF(Y6&gt;'Resultados_Tarifa e TIR'!$B$12+1,"",OFFSET('Ent_Plano Renovação Frota'!$P$29,(FC_CAPEX!Y$6)*25,0)+IF((Y6)=FC_Premissas!$C$4,'Ent_Plano Renovação Frota'!$P$654,0))</f>
        <v/>
      </c>
      <c r="Z16" s="826" t="str">
        <f ca="1">IF(Z6&gt;'Resultados_Tarifa e TIR'!$B$12+1,"",OFFSET('Ent_Plano Renovação Frota'!$P$29,(FC_CAPEX!Z$6)*25,0)+IF((Z6)=FC_Premissas!$C$4,'Ent_Plano Renovação Frota'!$P$654,0))</f>
        <v/>
      </c>
      <c r="AA16" s="826" t="str">
        <f ca="1">IF(AA6&gt;'Resultados_Tarifa e TIR'!$B$12+1,"",OFFSET('Ent_Plano Renovação Frota'!$P$29,(FC_CAPEX!AA$6)*25,0)+IF((AA6)=FC_Premissas!$C$4,'Ent_Plano Renovação Frota'!$P$654,0))</f>
        <v/>
      </c>
      <c r="AB16" s="826" t="str">
        <f ca="1">IF(AB6&gt;'Resultados_Tarifa e TIR'!$B$12+1,"",OFFSET('Ent_Plano Renovação Frota'!$P$29,(FC_CAPEX!AB$6)*25,0)+IF((AB6)=FC_Premissas!$C$4,'Ent_Plano Renovação Frota'!$P$654,0))</f>
        <v/>
      </c>
      <c r="AC16" s="826" t="str">
        <f ca="1">IF(AC6&gt;'Resultados_Tarifa e TIR'!$B$12+1,"",OFFSET('Ent_Plano Renovação Frota'!$P$29,(FC_CAPEX!AC$6)*25,0)+IF((AC6)=FC_Premissas!$C$4,'Ent_Plano Renovação Frota'!$P$654,0))</f>
        <v/>
      </c>
    </row>
    <row r="17" spans="1:29" x14ac:dyDescent="0.25">
      <c r="A17" s="1034"/>
      <c r="B17" s="827" t="s">
        <v>1318</v>
      </c>
      <c r="C17" s="833">
        <f t="shared" si="0"/>
        <v>260647.2</v>
      </c>
      <c r="D17" s="829"/>
      <c r="E17" s="829">
        <f>IF(E6=(FC_Premissas!$C$4),-$D$11,0)</f>
        <v>0</v>
      </c>
      <c r="F17" s="829">
        <f>IF(F6=(FC_Premissas!$C$4),-$D$11,0)</f>
        <v>0</v>
      </c>
      <c r="G17" s="829">
        <f>IF(G6=(FC_Premissas!$C$4),-$D$11,0)</f>
        <v>0</v>
      </c>
      <c r="H17" s="829">
        <f>IF(H6=(FC_Premissas!$C$4),-$D$11,0)</f>
        <v>0</v>
      </c>
      <c r="I17" s="829">
        <f>IF(I6=(FC_Premissas!$C$4),-$D$11,0)</f>
        <v>0</v>
      </c>
      <c r="J17" s="829">
        <f>IF(J6=(FC_Premissas!$C$4),-$D$11,0)</f>
        <v>0</v>
      </c>
      <c r="K17" s="829">
        <f>IF(K6=(FC_Premissas!$C$4),-$D$11,0)</f>
        <v>0</v>
      </c>
      <c r="L17" s="829">
        <f>IF(L6=(FC_Premissas!$C$4),-$D$11,0)</f>
        <v>0</v>
      </c>
      <c r="M17" s="829">
        <f>IF(M6=(FC_Premissas!$C$4),-$D$11,0)</f>
        <v>0</v>
      </c>
      <c r="N17" s="829">
        <f>IF(N6=(FC_Premissas!$C$4),-$D$11,0)</f>
        <v>0</v>
      </c>
      <c r="O17" s="829">
        <f>IF(O6=(FC_Premissas!$C$4),-$D$11,0)</f>
        <v>0</v>
      </c>
      <c r="P17" s="829">
        <f>IF(P6=(FC_Premissas!$C$4),-$D$11,0)</f>
        <v>0</v>
      </c>
      <c r="Q17" s="829">
        <f>IF(Q6=(FC_Premissas!$C$4),-$D$11,0)</f>
        <v>0</v>
      </c>
      <c r="R17" s="829">
        <f>IF(R6=(FC_Premissas!$C$4),-$D$11,0)</f>
        <v>0</v>
      </c>
      <c r="S17" s="829">
        <f>IF(S6=(FC_Premissas!$C$4),-$D$11,0)</f>
        <v>260647.2</v>
      </c>
      <c r="T17" s="829">
        <f>IF(T6=(FC_Premissas!$C$4),-$D$11,0)</f>
        <v>0</v>
      </c>
      <c r="U17" s="829">
        <f>IF(U6=(FC_Premissas!$C$4),-$D$11,0)</f>
        <v>0</v>
      </c>
      <c r="V17" s="829">
        <f>IF(V6=(FC_Premissas!$C$4),-$D$11,0)</f>
        <v>0</v>
      </c>
      <c r="W17" s="829">
        <f>IF(W6=(FC_Premissas!$C$4),-$D$11,0)</f>
        <v>0</v>
      </c>
      <c r="X17" s="829">
        <f>IF(X6=(FC_Premissas!$C$4),-$D$11,0)</f>
        <v>0</v>
      </c>
      <c r="Y17" s="829">
        <f>IF(Y6=(FC_Premissas!$C$4),-$D$11,0)</f>
        <v>0</v>
      </c>
      <c r="Z17" s="829">
        <f>IF(Z6=(FC_Premissas!$C$4),-$D$11,0)</f>
        <v>0</v>
      </c>
      <c r="AA17" s="829">
        <f>IF(AA6=(FC_Premissas!$C$4),-$D$11,0)</f>
        <v>0</v>
      </c>
      <c r="AB17" s="829">
        <f>IF(AB6=(FC_Premissas!$C$4),-$D$11,0)</f>
        <v>0</v>
      </c>
      <c r="AC17" s="829">
        <f>IF(AC6=(FC_Premissas!$C$4),-$D$11,0)</f>
        <v>0</v>
      </c>
    </row>
    <row r="18" spans="1:29" x14ac:dyDescent="0.25">
      <c r="A18" s="1034"/>
      <c r="B18" s="827" t="s">
        <v>1319</v>
      </c>
      <c r="C18" s="833">
        <f t="shared" si="0"/>
        <v>120696.1202</v>
      </c>
      <c r="D18" s="829"/>
      <c r="E18" s="829">
        <f>IF(E6=(FC_Premissas!$C$4),-SUM($D$12:E12)-SUM(FC_Depreciação!$C$6:D6),0)</f>
        <v>0</v>
      </c>
      <c r="F18" s="829">
        <f>IF(F6=(FC_Premissas!$C$4),-SUM($D$12:F12)-SUM(FC_Depreciação!$C$6:E6),0)</f>
        <v>0</v>
      </c>
      <c r="G18" s="829">
        <f>IF(G6=(FC_Premissas!$C$4),-SUM($D$12:G12)-SUM(FC_Depreciação!$C$6:F6),0)</f>
        <v>0</v>
      </c>
      <c r="H18" s="829">
        <f>IF(H6=(FC_Premissas!$C$4),-SUM($D$12:H12)-SUM(FC_Depreciação!$C$6:G6),0)</f>
        <v>0</v>
      </c>
      <c r="I18" s="829">
        <f>IF(I6=(FC_Premissas!$C$4),-SUM($D$12:I12)-SUM(FC_Depreciação!$C$6:H6),0)</f>
        <v>0</v>
      </c>
      <c r="J18" s="829">
        <f>IF(J6=(FC_Premissas!$C$4),-SUM($D$12:J12)-SUM(FC_Depreciação!$C$6:I6),0)</f>
        <v>0</v>
      </c>
      <c r="K18" s="829">
        <f>IF(K6=(FC_Premissas!$C$4),-SUM($D$12:K12)-SUM(FC_Depreciação!$C$6:J6),0)</f>
        <v>0</v>
      </c>
      <c r="L18" s="829">
        <f>IF(L6=(FC_Premissas!$C$4),-SUM($D$12:L12)-SUM(FC_Depreciação!$C$6:K6),0)</f>
        <v>0</v>
      </c>
      <c r="M18" s="829">
        <f>IF(M6=(FC_Premissas!$C$4),-SUM($D$12:M12)-SUM(FC_Depreciação!$C$6:L6),0)</f>
        <v>0</v>
      </c>
      <c r="N18" s="829">
        <f>IF(N6=(FC_Premissas!$C$4),-SUM($D$12:N12)-SUM(FC_Depreciação!$C$6:M6),0)</f>
        <v>0</v>
      </c>
      <c r="O18" s="829">
        <f>IF(O6=(FC_Premissas!$C$4),-SUM($D$12:O12)-SUM(FC_Depreciação!$C$6:N6),0)</f>
        <v>0</v>
      </c>
      <c r="P18" s="829">
        <f>IF(P6=(FC_Premissas!$C$4),-SUM($D$12:P12)-SUM(FC_Depreciação!$C$6:O6),0)</f>
        <v>0</v>
      </c>
      <c r="Q18" s="829">
        <f>IF(Q6=(FC_Premissas!$C$4),-SUM($D$12:Q12)-SUM(FC_Depreciação!$C$6:P6),0)</f>
        <v>0</v>
      </c>
      <c r="R18" s="829">
        <f>IF(R6=(FC_Premissas!$C$4),-SUM($D$12:R12)-SUM(FC_Depreciação!$C$6:Q6),0)</f>
        <v>0</v>
      </c>
      <c r="S18" s="829">
        <f>IF(S6=(FC_Premissas!$C$4),-SUM($D$12:S12)-SUM(FC_Depreciação!$C$6:R6),0)</f>
        <v>120696.1202</v>
      </c>
      <c r="T18" s="829">
        <f>IF(T6=(FC_Premissas!$C$4),-SUM($D$12:T12)-SUM(FC_Depreciação!$C$6:S6),0)</f>
        <v>0</v>
      </c>
      <c r="U18" s="829">
        <f>IF(U6=(FC_Premissas!$C$4),-SUM($D$12:U12)-SUM(FC_Depreciação!$C$6:T6),0)</f>
        <v>0</v>
      </c>
      <c r="V18" s="829">
        <f>IF(V6=(FC_Premissas!$C$4),-SUM($D$12:V12)-SUM(FC_Depreciação!$C$6:U6),0)</f>
        <v>0</v>
      </c>
      <c r="W18" s="829">
        <f>IF(W6=(FC_Premissas!$C$4),-SUM($D$12:W12)-SUM(FC_Depreciação!$C$6:V6),0)</f>
        <v>0</v>
      </c>
      <c r="X18" s="829">
        <f>IF(X6=(FC_Premissas!$C$4),-SUM($D$12:X12)-SUM(FC_Depreciação!$C$6:W6),0)</f>
        <v>0</v>
      </c>
      <c r="Y18" s="829">
        <f>IF(Y6=(FC_Premissas!$C$4),-SUM($D$12:Y12)-SUM(FC_Depreciação!$C$6:X6),0)</f>
        <v>0</v>
      </c>
      <c r="Z18" s="829">
        <f>IF(Z6=(FC_Premissas!$C$4),-SUM($D$12:Z12)-SUM(FC_Depreciação!$C$6:Y6),0)</f>
        <v>0</v>
      </c>
      <c r="AA18" s="829">
        <f>IF(AA6=(FC_Premissas!$C$4),-SUM($D$12:AA12)-SUM(FC_Depreciação!$C$6:Z6),0)</f>
        <v>0</v>
      </c>
      <c r="AB18" s="829">
        <f>IF(AB6=(FC_Premissas!$C$4),-SUM($D$12:AB12)-SUM(FC_Depreciação!$C$6:AA6),0)</f>
        <v>0</v>
      </c>
      <c r="AC18" s="829">
        <f>IF(AC6=(FC_Premissas!$C$4),-SUM($D$12:AC12)-SUM(FC_Depreciação!$C$6:AB6),0)</f>
        <v>0</v>
      </c>
    </row>
    <row r="19" spans="1:29" x14ac:dyDescent="0.25">
      <c r="A19" s="1034"/>
      <c r="B19" s="827" t="s">
        <v>1320</v>
      </c>
      <c r="C19" s="833">
        <f t="shared" si="0"/>
        <v>44719.004999999946</v>
      </c>
      <c r="D19" s="829"/>
      <c r="E19" s="829">
        <f>IF(E6=(FC_Premissas!$C$4),-SUM($D$26:E26)-SUM(FC_Depreciação!$C$7:D7),0)</f>
        <v>0</v>
      </c>
      <c r="F19" s="829">
        <f>IF(F6=(FC_Premissas!$C$4),-SUM($D$26:F26)-SUM(FC_Depreciação!$C$7:E7),0)</f>
        <v>0</v>
      </c>
      <c r="G19" s="829">
        <f>IF(G6=(FC_Premissas!$C$4),-SUM($D$26:G26)-SUM(FC_Depreciação!$C$7:F7),0)</f>
        <v>0</v>
      </c>
      <c r="H19" s="829">
        <f>IF(H6=(FC_Premissas!$C$4),-SUM($D$26:H26)-SUM(FC_Depreciação!$C$7:G7),0)</f>
        <v>0</v>
      </c>
      <c r="I19" s="829">
        <f>IF(I6=(FC_Premissas!$C$4),-SUM($D$26:I26)-SUM(FC_Depreciação!$C$7:H7),0)</f>
        <v>0</v>
      </c>
      <c r="J19" s="829">
        <f>IF(J6=(FC_Premissas!$C$4),-SUM($D$26:J26)-SUM(FC_Depreciação!$C$7:I7),0)</f>
        <v>0</v>
      </c>
      <c r="K19" s="829">
        <f>IF(K6=(FC_Premissas!$C$4),-SUM($D$26:K26)-SUM(FC_Depreciação!$C$7:J7),0)</f>
        <v>0</v>
      </c>
      <c r="L19" s="829">
        <f>IF(L6=(FC_Premissas!$C$4),-SUM($D$26:L26)-SUM(FC_Depreciação!$C$7:K7),0)</f>
        <v>0</v>
      </c>
      <c r="M19" s="829">
        <f>IF(M6=(FC_Premissas!$C$4),-SUM($D$26:M26)-SUM(FC_Depreciação!$C$7:L7),0)</f>
        <v>0</v>
      </c>
      <c r="N19" s="829">
        <f>IF(N6=(FC_Premissas!$C$4),-SUM($D$26:N26)-SUM(FC_Depreciação!$C$7:M7),0)</f>
        <v>0</v>
      </c>
      <c r="O19" s="829">
        <f>IF(O6=(FC_Premissas!$C$4),-SUM($D$26:O26)-SUM(FC_Depreciação!$C$7:N7),0)</f>
        <v>0</v>
      </c>
      <c r="P19" s="829">
        <f>IF(P6=(FC_Premissas!$C$4),-SUM($D$26:P26)-SUM(FC_Depreciação!$C$7:O7),0)</f>
        <v>0</v>
      </c>
      <c r="Q19" s="829">
        <f>IF(Q6=(FC_Premissas!$C$4),-SUM($D$26:Q26)-SUM(FC_Depreciação!$C$7:P7),0)</f>
        <v>0</v>
      </c>
      <c r="R19" s="829">
        <f>IF(R6=(FC_Premissas!$C$4),-SUM($D$26:R26)-SUM(FC_Depreciação!$C$7:Q7),0)</f>
        <v>0</v>
      </c>
      <c r="S19" s="829">
        <f>IF(S6=(FC_Premissas!$C$4),-SUM($D$26:S26)-SUM(FC_Depreciação!$C$7:R7),0)</f>
        <v>44719.004999999946</v>
      </c>
      <c r="T19" s="829">
        <f>IF(T6=(FC_Premissas!$C$4),-SUM($D$26:T26)-SUM(FC_Depreciação!$C$7:S7),0)</f>
        <v>0</v>
      </c>
      <c r="U19" s="829">
        <f>IF(U6=(FC_Premissas!$C$4),-SUM($D$26:U26)-SUM(FC_Depreciação!$C$7:T7),0)</f>
        <v>0</v>
      </c>
      <c r="V19" s="829">
        <f>IF(V6=(FC_Premissas!$C$4),-SUM($D$26:V26)-SUM(FC_Depreciação!$C$7:U7),0)</f>
        <v>0</v>
      </c>
      <c r="W19" s="829">
        <f>IF(W6=(FC_Premissas!$C$4),-SUM($D$26:W26)-SUM(FC_Depreciação!$C$7:V7),0)</f>
        <v>0</v>
      </c>
      <c r="X19" s="829">
        <f>IF(X6=(FC_Premissas!$C$4),-SUM($D$26:X26)-SUM(FC_Depreciação!$C$7:W7),0)</f>
        <v>0</v>
      </c>
      <c r="Y19" s="829">
        <f>IF(Y6=(FC_Premissas!$C$4),-SUM($D$26:Y26)-SUM(FC_Depreciação!$C$7:X7),0)</f>
        <v>0</v>
      </c>
      <c r="Z19" s="829">
        <f>IF(Z6=(FC_Premissas!$C$4),-SUM($D$26:Z26)-SUM(FC_Depreciação!$C$7:Y7),0)</f>
        <v>0</v>
      </c>
      <c r="AA19" s="829">
        <f>IF(AA6=(FC_Premissas!$C$4),-SUM($D$26:AA26)-SUM(FC_Depreciação!$C$7:Z7),0)</f>
        <v>0</v>
      </c>
      <c r="AB19" s="829">
        <f>IF(AB6=(FC_Premissas!$C$4),-SUM($D$26:AB26)-SUM(FC_Depreciação!$C$7:AA7),0)</f>
        <v>0</v>
      </c>
      <c r="AC19" s="829">
        <f>IF(AC6=(FC_Premissas!$C$4),-SUM($D$26:AC26)-SUM(FC_Depreciação!$C$7:AB7),0)</f>
        <v>0</v>
      </c>
    </row>
    <row r="20" spans="1:29" x14ac:dyDescent="0.25">
      <c r="A20" s="1034"/>
      <c r="B20" s="827" t="s">
        <v>1321</v>
      </c>
      <c r="C20" s="833">
        <f t="shared" si="0"/>
        <v>2.3283064365386963E-10</v>
      </c>
      <c r="D20" s="829"/>
      <c r="E20" s="829">
        <f>IF(E6=(FC_Premissas!$C$4),-SUM($D$27:E27)-SUM(FC_Depreciação!$C$8:D8),0)</f>
        <v>0</v>
      </c>
      <c r="F20" s="829">
        <f>IF(F6=(FC_Premissas!$C$4),-SUM($D$27:F27)-SUM(FC_Depreciação!$C$8:E8),0)</f>
        <v>0</v>
      </c>
      <c r="G20" s="829">
        <f>IF(G6=(FC_Premissas!$C$4),-SUM($D$27:G27)-SUM(FC_Depreciação!$C$8:F8),0)</f>
        <v>0</v>
      </c>
      <c r="H20" s="829">
        <f>IF(H6=(FC_Premissas!$C$4),-SUM($D$27:H27)-SUM(FC_Depreciação!$C$8:G8),0)</f>
        <v>0</v>
      </c>
      <c r="I20" s="829">
        <f>IF(I6=(FC_Premissas!$C$4),-SUM($D$27:I27)-SUM(FC_Depreciação!$C$8:H8),0)</f>
        <v>0</v>
      </c>
      <c r="J20" s="829">
        <f>IF(J6=(FC_Premissas!$C$4),-SUM($D$27:J27)-SUM(FC_Depreciação!$C$8:I8),0)</f>
        <v>0</v>
      </c>
      <c r="K20" s="829">
        <f>IF(K6=(FC_Premissas!$C$4),-SUM($D$27:K27)-SUM(FC_Depreciação!$C$8:J8),0)</f>
        <v>0</v>
      </c>
      <c r="L20" s="829">
        <f>IF(L6=(FC_Premissas!$C$4),-SUM($D$27:L27)-SUM(FC_Depreciação!$C$8:K8),0)</f>
        <v>0</v>
      </c>
      <c r="M20" s="829">
        <f>IF(M6=(FC_Premissas!$C$4),-SUM($D$27:M27)-SUM(FC_Depreciação!$C$8:L8),0)</f>
        <v>0</v>
      </c>
      <c r="N20" s="829">
        <f>IF(N6=(FC_Premissas!$C$4),-SUM($D$27:N27)-SUM(FC_Depreciação!$C$8:M8),0)</f>
        <v>0</v>
      </c>
      <c r="O20" s="829">
        <f>IF(O6=(FC_Premissas!$C$4),-SUM($D$27:O27)-SUM(FC_Depreciação!$C$8:N8),0)</f>
        <v>0</v>
      </c>
      <c r="P20" s="829">
        <f>IF(P6=(FC_Premissas!$C$4),-SUM($D$27:P27)-SUM(FC_Depreciação!$C$8:O8),0)</f>
        <v>0</v>
      </c>
      <c r="Q20" s="829">
        <f>IF(Q6=(FC_Premissas!$C$4),-SUM($D$27:Q27)-SUM(FC_Depreciação!$C$8:P8),0)</f>
        <v>0</v>
      </c>
      <c r="R20" s="829">
        <f>IF(R6=(FC_Premissas!$C$4),-SUM($D$27:R27)-SUM(FC_Depreciação!$C$8:Q8),0)</f>
        <v>0</v>
      </c>
      <c r="S20" s="829">
        <f>IF(S6=(FC_Premissas!$C$4),-SUM($D$27:S27)-SUM(FC_Depreciação!$C$8:R8),0)</f>
        <v>2.3283064365386963E-10</v>
      </c>
      <c r="T20" s="829">
        <f>IF(T6=(FC_Premissas!$C$4),-SUM($D$27:T27)-SUM(FC_Depreciação!$C$8:S8),0)</f>
        <v>0</v>
      </c>
      <c r="U20" s="829">
        <f>IF(U6=(FC_Premissas!$C$4),-SUM($D$27:U27)-SUM(FC_Depreciação!$C$8:T8),0)</f>
        <v>0</v>
      </c>
      <c r="V20" s="829">
        <f>IF(V6=(FC_Premissas!$C$4),-SUM($D$27:V27)-SUM(FC_Depreciação!$C$8:U8),0)</f>
        <v>0</v>
      </c>
      <c r="W20" s="829">
        <f>IF(W6=(FC_Premissas!$C$4),-SUM($D$27:W27)-SUM(FC_Depreciação!$C$8:V8),0)</f>
        <v>0</v>
      </c>
      <c r="X20" s="829">
        <f>IF(X6=(FC_Premissas!$C$4),-SUM($D$27:X27)-SUM(FC_Depreciação!$C$8:W8),0)</f>
        <v>0</v>
      </c>
      <c r="Y20" s="829">
        <f>IF(Y6=(FC_Premissas!$C$4),-SUM($D$27:Y27)-SUM(FC_Depreciação!$C$8:X8),0)</f>
        <v>0</v>
      </c>
      <c r="Z20" s="829">
        <f>IF(Z6=(FC_Premissas!$C$4),-SUM($D$27:Z27)-SUM(FC_Depreciação!$C$8:Y8),0)</f>
        <v>0</v>
      </c>
      <c r="AA20" s="829">
        <f>IF(AA6=(FC_Premissas!$C$4),-SUM($D$27:AA27)-SUM(FC_Depreciação!$C$8:Z8),0)</f>
        <v>0</v>
      </c>
      <c r="AB20" s="829">
        <f>IF(AB6=(FC_Premissas!$C$4),-SUM($D$27:AB27)-SUM(FC_Depreciação!$C$8:AA8),0)</f>
        <v>0</v>
      </c>
      <c r="AC20" s="829">
        <f>IF(AC6=(FC_Premissas!$C$4),-SUM($D$27:AC27)-SUM(FC_Depreciação!$C$8:AB8),0)</f>
        <v>0</v>
      </c>
    </row>
    <row r="21" spans="1:29" ht="15.75" thickBot="1" x14ac:dyDescent="0.3">
      <c r="A21" s="1034"/>
      <c r="B21" s="834" t="s">
        <v>1322</v>
      </c>
      <c r="C21" s="835">
        <f t="shared" si="0"/>
        <v>7.2759576141834259E-12</v>
      </c>
      <c r="D21" s="836"/>
      <c r="E21" s="836">
        <f>IF(E6=(FC_Premissas!$C$4),-SUM($D$28:E28)-SUM(FC_Depreciação!$C$9:D9),0)</f>
        <v>0</v>
      </c>
      <c r="F21" s="836">
        <f>IF(F6=(FC_Premissas!$C$4),-SUM($D$28:F28)-SUM(FC_Depreciação!$C$9:E9),0)</f>
        <v>0</v>
      </c>
      <c r="G21" s="836">
        <f>IF(G6=(FC_Premissas!$C$4),-SUM($D$28:G28)-SUM(FC_Depreciação!$C$9:F9),0)</f>
        <v>0</v>
      </c>
      <c r="H21" s="836">
        <f>IF(H6=(FC_Premissas!$C$4),-SUM($D$28:H28)-SUM(FC_Depreciação!$C$9:G9),0)</f>
        <v>0</v>
      </c>
      <c r="I21" s="836">
        <f>IF(I6=(FC_Premissas!$C$4),-SUM($D$28:I28)-SUM(FC_Depreciação!$C$9:H9),0)</f>
        <v>0</v>
      </c>
      <c r="J21" s="836">
        <f>IF(J6=(FC_Premissas!$C$4),-SUM($D$28:J28)-SUM(FC_Depreciação!$C$9:I9),0)</f>
        <v>0</v>
      </c>
      <c r="K21" s="836">
        <f>IF(K6=(FC_Premissas!$C$4),-SUM($D$28:K28)-SUM(FC_Depreciação!$C$9:J9),0)</f>
        <v>0</v>
      </c>
      <c r="L21" s="836">
        <f>IF(L6=(FC_Premissas!$C$4),-SUM($D$28:L28)-SUM(FC_Depreciação!$C$9:K9),0)</f>
        <v>0</v>
      </c>
      <c r="M21" s="836">
        <f>IF(M6=(FC_Premissas!$C$4),-SUM($D$28:M28)-SUM(FC_Depreciação!$C$9:L9),0)</f>
        <v>0</v>
      </c>
      <c r="N21" s="836">
        <f>IF(N6=(FC_Premissas!$C$4),-SUM($D$28:N28)-SUM(FC_Depreciação!$C$9:M9),0)</f>
        <v>0</v>
      </c>
      <c r="O21" s="836">
        <f>IF(O6=(FC_Premissas!$C$4),-SUM($D$28:O28)-SUM(FC_Depreciação!$C$9:N9),0)</f>
        <v>0</v>
      </c>
      <c r="P21" s="836">
        <f>IF(P6=(FC_Premissas!$C$4),-SUM($D$28:P28)-SUM(FC_Depreciação!$C$9:O9),0)</f>
        <v>0</v>
      </c>
      <c r="Q21" s="836">
        <f>IF(Q6=(FC_Premissas!$C$4),-SUM($D$28:Q28)-SUM(FC_Depreciação!$C$9:P9),0)</f>
        <v>0</v>
      </c>
      <c r="R21" s="836">
        <f>IF(R6=(FC_Premissas!$C$4),-SUM($D$28:R28)-SUM(FC_Depreciação!$C$9:Q9),0)</f>
        <v>0</v>
      </c>
      <c r="S21" s="836">
        <f>IF(S6=(FC_Premissas!$C$4),-SUM($D$28:S28)-SUM(FC_Depreciação!$C$9:R9),0)</f>
        <v>7.2759576141834259E-12</v>
      </c>
      <c r="T21" s="836">
        <f>IF(T6=(FC_Premissas!$C$4),-SUM($D$28:T28)-SUM(FC_Depreciação!$C$9:S9),0)</f>
        <v>0</v>
      </c>
      <c r="U21" s="836">
        <f>IF(U6=(FC_Premissas!$C$4),-SUM($D$28:U28)-SUM(FC_Depreciação!$C$9:T9),0)</f>
        <v>0</v>
      </c>
      <c r="V21" s="836">
        <f>IF(V6=(FC_Premissas!$C$4),-SUM($D$28:V28)-SUM(FC_Depreciação!$C$9:U9),0)</f>
        <v>0</v>
      </c>
      <c r="W21" s="836">
        <f>IF(W6=(FC_Premissas!$C$4),-SUM($D$28:W28)-SUM(FC_Depreciação!$C$9:V9),0)</f>
        <v>0</v>
      </c>
      <c r="X21" s="836">
        <f>IF(X6=(FC_Premissas!$C$4),-SUM($D$28:X28)-SUM(FC_Depreciação!$C$9:W9),0)</f>
        <v>0</v>
      </c>
      <c r="Y21" s="836">
        <f>IF(Y6=(FC_Premissas!$C$4),-SUM($D$28:Y28)-SUM(FC_Depreciação!$C$9:X9),0)</f>
        <v>0</v>
      </c>
      <c r="Z21" s="836">
        <f>IF(Z6=(FC_Premissas!$C$4),-SUM($D$28:Z28)-SUM(FC_Depreciação!$C$9:Y9),0)</f>
        <v>0</v>
      </c>
      <c r="AA21" s="836">
        <f>IF(AA6=(FC_Premissas!$C$4),-SUM($D$28:AA28)-SUM(FC_Depreciação!$C$9:Z9),0)</f>
        <v>0</v>
      </c>
      <c r="AB21" s="836">
        <f>IF(AB6=(FC_Premissas!$C$4),-SUM($D$28:AB28)-SUM(FC_Depreciação!$C$9:AA9),0)</f>
        <v>0</v>
      </c>
      <c r="AC21" s="836">
        <f>IF(AC6=(FC_Premissas!$C$4),-SUM($D$28:AC28)-SUM(FC_Depreciação!$C$9:AB9),0)</f>
        <v>0</v>
      </c>
    </row>
    <row r="22" spans="1:29" ht="15.75" thickTop="1" x14ac:dyDescent="0.25">
      <c r="A22" s="1034"/>
      <c r="B22" s="837" t="s">
        <v>1323</v>
      </c>
      <c r="C22" s="773">
        <f t="shared" ca="1" si="0"/>
        <v>-5883605.4477090901</v>
      </c>
      <c r="D22" s="838">
        <f t="shared" ref="D22:AC22" ca="1" si="2">SUM(D7:D21)</f>
        <v>-2889089.2014545458</v>
      </c>
      <c r="E22" s="838">
        <f t="shared" ca="1" si="2"/>
        <v>0</v>
      </c>
      <c r="F22" s="838">
        <f t="shared" ca="1" si="2"/>
        <v>-538559.86909090891</v>
      </c>
      <c r="G22" s="838">
        <f t="shared" ca="1" si="2"/>
        <v>0</v>
      </c>
      <c r="H22" s="838">
        <f t="shared" ca="1" si="2"/>
        <v>-538559.86909090891</v>
      </c>
      <c r="I22" s="838">
        <f t="shared" ca="1" si="2"/>
        <v>-505203.55636363628</v>
      </c>
      <c r="J22" s="838">
        <f t="shared" ca="1" si="2"/>
        <v>-359039.91272727266</v>
      </c>
      <c r="K22" s="838">
        <f t="shared" ca="1" si="2"/>
        <v>-359039.91272727266</v>
      </c>
      <c r="L22" s="838">
        <f t="shared" ca="1" si="2"/>
        <v>-359039.91272727266</v>
      </c>
      <c r="M22" s="838">
        <f t="shared" ca="1" si="2"/>
        <v>0</v>
      </c>
      <c r="N22" s="838">
        <f t="shared" ca="1" si="2"/>
        <v>-953681.47909090878</v>
      </c>
      <c r="O22" s="838">
        <f t="shared" ca="1" si="2"/>
        <v>-179519.95636363633</v>
      </c>
      <c r="P22" s="838">
        <f t="shared" ca="1" si="2"/>
        <v>-179519.95636363633</v>
      </c>
      <c r="Q22" s="838">
        <f t="shared" ca="1" si="2"/>
        <v>-718079.82545454532</v>
      </c>
      <c r="R22" s="838">
        <f t="shared" ca="1" si="2"/>
        <v>0</v>
      </c>
      <c r="S22" s="838">
        <f t="shared" ca="1" si="2"/>
        <v>1695728.0037454551</v>
      </c>
      <c r="T22" s="838">
        <f t="shared" ca="1" si="2"/>
        <v>0</v>
      </c>
      <c r="U22" s="838">
        <f t="shared" ca="1" si="2"/>
        <v>0</v>
      </c>
      <c r="V22" s="838">
        <f t="shared" ca="1" si="2"/>
        <v>0</v>
      </c>
      <c r="W22" s="838">
        <f t="shared" ca="1" si="2"/>
        <v>0</v>
      </c>
      <c r="X22" s="838">
        <f t="shared" ca="1" si="2"/>
        <v>0</v>
      </c>
      <c r="Y22" s="838">
        <f t="shared" ca="1" si="2"/>
        <v>0</v>
      </c>
      <c r="Z22" s="838">
        <f t="shared" ca="1" si="2"/>
        <v>0</v>
      </c>
      <c r="AA22" s="838">
        <f t="shared" ca="1" si="2"/>
        <v>0</v>
      </c>
      <c r="AB22" s="838">
        <f t="shared" ca="1" si="2"/>
        <v>0</v>
      </c>
      <c r="AC22" s="838">
        <f t="shared" ca="1" si="2"/>
        <v>0</v>
      </c>
    </row>
    <row r="23" spans="1:29" x14ac:dyDescent="0.25">
      <c r="A23" s="1034"/>
      <c r="B23" s="839" t="str">
        <f>"Total CAPEX - Considerado "</f>
        <v xml:space="preserve">Total CAPEX - Considerado </v>
      </c>
      <c r="C23" s="840">
        <f t="shared" ca="1" si="0"/>
        <v>-5883605.4477090901</v>
      </c>
      <c r="D23" s="841">
        <f ca="1">D22</f>
        <v>-2889089.2014545458</v>
      </c>
      <c r="E23" s="841">
        <f ca="1">E22</f>
        <v>0</v>
      </c>
      <c r="F23" s="841">
        <f t="shared" ref="F23:AC23" ca="1" si="3">F22</f>
        <v>-538559.86909090891</v>
      </c>
      <c r="G23" s="841">
        <f t="shared" ca="1" si="3"/>
        <v>0</v>
      </c>
      <c r="H23" s="841">
        <f t="shared" ca="1" si="3"/>
        <v>-538559.86909090891</v>
      </c>
      <c r="I23" s="841">
        <f t="shared" ca="1" si="3"/>
        <v>-505203.55636363628</v>
      </c>
      <c r="J23" s="841">
        <f t="shared" ca="1" si="3"/>
        <v>-359039.91272727266</v>
      </c>
      <c r="K23" s="841">
        <f t="shared" ca="1" si="3"/>
        <v>-359039.91272727266</v>
      </c>
      <c r="L23" s="841">
        <f t="shared" ca="1" si="3"/>
        <v>-359039.91272727266</v>
      </c>
      <c r="M23" s="841">
        <f t="shared" ca="1" si="3"/>
        <v>0</v>
      </c>
      <c r="N23" s="841">
        <f t="shared" ca="1" si="3"/>
        <v>-953681.47909090878</v>
      </c>
      <c r="O23" s="841">
        <f t="shared" ca="1" si="3"/>
        <v>-179519.95636363633</v>
      </c>
      <c r="P23" s="841">
        <f t="shared" ca="1" si="3"/>
        <v>-179519.95636363633</v>
      </c>
      <c r="Q23" s="841">
        <f t="shared" ca="1" si="3"/>
        <v>-718079.82545454532</v>
      </c>
      <c r="R23" s="841">
        <f t="shared" ca="1" si="3"/>
        <v>0</v>
      </c>
      <c r="S23" s="841">
        <f t="shared" ca="1" si="3"/>
        <v>1695728.0037454551</v>
      </c>
      <c r="T23" s="841">
        <f t="shared" ca="1" si="3"/>
        <v>0</v>
      </c>
      <c r="U23" s="841">
        <f t="shared" ca="1" si="3"/>
        <v>0</v>
      </c>
      <c r="V23" s="841">
        <f t="shared" ca="1" si="3"/>
        <v>0</v>
      </c>
      <c r="W23" s="841">
        <f t="shared" ca="1" si="3"/>
        <v>0</v>
      </c>
      <c r="X23" s="841">
        <f t="shared" ca="1" si="3"/>
        <v>0</v>
      </c>
      <c r="Y23" s="841">
        <f t="shared" ca="1" si="3"/>
        <v>0</v>
      </c>
      <c r="Z23" s="841">
        <f t="shared" ca="1" si="3"/>
        <v>0</v>
      </c>
      <c r="AA23" s="841">
        <f t="shared" ca="1" si="3"/>
        <v>0</v>
      </c>
      <c r="AB23" s="841">
        <f t="shared" ca="1" si="3"/>
        <v>0</v>
      </c>
      <c r="AC23" s="841">
        <f t="shared" ca="1" si="3"/>
        <v>0</v>
      </c>
    </row>
    <row r="24" spans="1:29" x14ac:dyDescent="0.25">
      <c r="B24" s="816"/>
      <c r="C24" s="816"/>
      <c r="D24" s="816"/>
      <c r="E24" s="816"/>
      <c r="F24" s="816"/>
      <c r="G24" s="816"/>
      <c r="H24" s="816"/>
      <c r="I24" s="816"/>
      <c r="J24" s="816"/>
      <c r="K24" s="816"/>
      <c r="L24" s="816"/>
      <c r="M24" s="816"/>
      <c r="N24" s="816"/>
      <c r="O24" s="816"/>
      <c r="P24" s="816"/>
      <c r="Q24" s="816"/>
      <c r="R24" s="816"/>
      <c r="S24" s="816"/>
      <c r="T24" s="816"/>
      <c r="U24" s="816"/>
      <c r="V24" s="816"/>
      <c r="W24" s="816"/>
      <c r="X24" s="816"/>
    </row>
    <row r="25" spans="1:29" ht="15" customHeight="1" x14ac:dyDescent="0.25">
      <c r="B25" s="816"/>
      <c r="C25" s="816"/>
      <c r="D25" s="816"/>
      <c r="E25" s="816"/>
      <c r="F25" s="816"/>
      <c r="G25" s="816"/>
      <c r="H25" s="816"/>
      <c r="I25" s="816"/>
      <c r="J25" s="816"/>
      <c r="K25" s="816"/>
      <c r="L25" s="816"/>
      <c r="M25" s="816"/>
      <c r="N25" s="816"/>
      <c r="O25" s="816"/>
      <c r="P25" s="816"/>
      <c r="Q25" s="816"/>
      <c r="R25" s="816"/>
      <c r="S25" s="816"/>
      <c r="T25" s="816"/>
      <c r="U25" s="816"/>
      <c r="V25" s="816"/>
      <c r="W25" s="816"/>
      <c r="X25" s="816"/>
    </row>
    <row r="26" spans="1:29" x14ac:dyDescent="0.25">
      <c r="B26" s="842" t="s">
        <v>1308</v>
      </c>
      <c r="C26" s="843"/>
      <c r="D26" s="843">
        <f>IF(D6&gt;'Resultados_Tarifa e TIR'!$B$12,"",-Ent_Geral!D81)</f>
        <v>-89438.01</v>
      </c>
      <c r="E26" s="843"/>
      <c r="F26" s="843"/>
      <c r="G26" s="843"/>
      <c r="H26" s="843"/>
      <c r="I26" s="843"/>
      <c r="J26" s="843"/>
      <c r="K26" s="843"/>
      <c r="L26" s="843"/>
      <c r="M26" s="843"/>
      <c r="N26" s="843">
        <f>D26</f>
        <v>-89438.01</v>
      </c>
      <c r="O26" s="843"/>
      <c r="P26" s="843"/>
      <c r="Q26" s="843"/>
      <c r="R26" s="843"/>
      <c r="S26" s="843"/>
      <c r="T26" s="843"/>
      <c r="U26" s="843"/>
      <c r="V26" s="843"/>
      <c r="W26" s="843"/>
      <c r="X26" s="843"/>
      <c r="Y26" s="843"/>
      <c r="Z26" s="843"/>
      <c r="AA26" s="843"/>
      <c r="AB26" s="844"/>
    </row>
    <row r="27" spans="1:29" x14ac:dyDescent="0.25">
      <c r="B27" s="845" t="s">
        <v>1309</v>
      </c>
      <c r="C27" s="846"/>
      <c r="D27" s="846">
        <f>IF(D6&gt;'Resultados_Tarifa e TIR'!$B$12,"",-Ent_Geral!D84)</f>
        <v>-325683.59999999998</v>
      </c>
      <c r="E27" s="846"/>
      <c r="F27" s="846"/>
      <c r="G27" s="846"/>
      <c r="H27" s="846"/>
      <c r="I27" s="846">
        <f>D27</f>
        <v>-325683.59999999998</v>
      </c>
      <c r="J27" s="846"/>
      <c r="K27" s="846"/>
      <c r="L27" s="846"/>
      <c r="M27" s="846"/>
      <c r="N27" s="846">
        <f>D27</f>
        <v>-325683.59999999998</v>
      </c>
      <c r="O27" s="846"/>
      <c r="P27" s="846"/>
      <c r="Q27" s="846"/>
      <c r="R27" s="846"/>
      <c r="S27" s="846"/>
      <c r="T27" s="846"/>
      <c r="U27" s="846"/>
      <c r="V27" s="846"/>
      <c r="W27" s="846"/>
      <c r="X27" s="846"/>
      <c r="Y27" s="846"/>
      <c r="Z27" s="846"/>
      <c r="AA27" s="846"/>
      <c r="AB27" s="847"/>
    </row>
    <row r="28" spans="1:29" x14ac:dyDescent="0.25">
      <c r="B28" s="848" t="s">
        <v>139</v>
      </c>
      <c r="C28" s="849"/>
      <c r="D28" s="849">
        <f>IF(D6&gt;'Resultados_Tarifa e TIR'!$B$12,"",-Ent_Geral!D68)</f>
        <v>-35000</v>
      </c>
      <c r="E28" s="849"/>
      <c r="F28" s="849"/>
      <c r="G28" s="849"/>
      <c r="H28" s="849"/>
      <c r="I28" s="849"/>
      <c r="J28" s="849"/>
      <c r="K28" s="849"/>
      <c r="L28" s="849"/>
      <c r="M28" s="849"/>
      <c r="N28" s="849"/>
      <c r="O28" s="849"/>
      <c r="P28" s="849"/>
      <c r="Q28" s="849"/>
      <c r="R28" s="849"/>
      <c r="S28" s="849"/>
      <c r="T28" s="849"/>
      <c r="U28" s="849"/>
      <c r="V28" s="849"/>
      <c r="W28" s="849"/>
      <c r="X28" s="849"/>
      <c r="Y28" s="849"/>
      <c r="Z28" s="849"/>
      <c r="AA28" s="849"/>
      <c r="AB28" s="850"/>
    </row>
    <row r="29" spans="1:29" x14ac:dyDescent="0.25">
      <c r="B29" s="816"/>
      <c r="C29" s="816"/>
      <c r="D29" s="816"/>
      <c r="E29" s="816"/>
      <c r="F29" s="816"/>
      <c r="G29" s="816"/>
      <c r="H29" s="816"/>
      <c r="I29" s="816"/>
      <c r="J29" s="816"/>
      <c r="K29" s="816"/>
      <c r="L29" s="816"/>
      <c r="M29" s="816"/>
      <c r="N29" s="816"/>
      <c r="O29" s="816"/>
      <c r="P29" s="816"/>
      <c r="Q29" s="816"/>
      <c r="R29" s="816"/>
      <c r="S29" s="816"/>
      <c r="T29" s="816"/>
      <c r="U29" s="816"/>
      <c r="V29" s="816"/>
      <c r="W29" s="816"/>
      <c r="X29" s="816"/>
    </row>
    <row r="30" spans="1:29" x14ac:dyDescent="0.25">
      <c r="B30" s="816"/>
      <c r="C30" s="816"/>
      <c r="D30" s="816"/>
      <c r="E30" s="816"/>
      <c r="F30" s="816"/>
      <c r="G30" s="816"/>
      <c r="H30" s="816"/>
      <c r="I30" s="816"/>
      <c r="J30" s="816"/>
      <c r="K30" s="816"/>
      <c r="L30" s="816"/>
      <c r="M30" s="816"/>
      <c r="N30" s="816"/>
      <c r="O30" s="816"/>
      <c r="P30" s="816"/>
      <c r="Q30" s="816"/>
      <c r="R30" s="816"/>
      <c r="S30" s="816"/>
      <c r="T30" s="816"/>
      <c r="U30" s="816"/>
      <c r="V30" s="816"/>
      <c r="W30" s="816"/>
      <c r="X30" s="851"/>
    </row>
    <row r="31" spans="1:29" x14ac:dyDescent="0.25">
      <c r="B31" s="816"/>
      <c r="C31" s="816"/>
      <c r="D31" s="816"/>
      <c r="E31" s="816"/>
      <c r="F31" s="816"/>
      <c r="G31" s="816"/>
      <c r="H31" s="816"/>
      <c r="I31" s="816"/>
      <c r="J31" s="816"/>
      <c r="K31" s="816"/>
      <c r="L31" s="816"/>
      <c r="M31" s="816"/>
      <c r="N31" s="816"/>
      <c r="O31" s="816"/>
      <c r="P31" s="816"/>
      <c r="Q31" s="816"/>
      <c r="R31" s="816"/>
      <c r="S31" s="816"/>
      <c r="T31" s="816"/>
      <c r="U31" s="816"/>
      <c r="V31" s="816"/>
      <c r="W31" s="816"/>
      <c r="X31" s="851"/>
    </row>
    <row r="32" spans="1:29" x14ac:dyDescent="0.25">
      <c r="B32" s="816"/>
      <c r="C32" s="816"/>
      <c r="D32" s="816"/>
      <c r="E32" s="816"/>
      <c r="F32" s="816"/>
      <c r="G32" s="816"/>
      <c r="H32" s="816"/>
      <c r="I32" s="816"/>
      <c r="J32" s="816"/>
      <c r="K32" s="816"/>
      <c r="L32" s="816"/>
      <c r="M32" s="816"/>
      <c r="N32" s="816"/>
      <c r="O32" s="816"/>
      <c r="P32" s="816"/>
      <c r="Q32" s="816"/>
      <c r="R32" s="816"/>
      <c r="S32" s="816"/>
      <c r="T32" s="816"/>
      <c r="U32" s="816"/>
      <c r="V32" s="816"/>
      <c r="W32" s="816"/>
      <c r="X32" s="851"/>
    </row>
    <row r="33" spans="2:24" x14ac:dyDescent="0.25">
      <c r="B33" s="816"/>
      <c r="C33" s="969">
        <f ca="1">C10*-1</f>
        <v>7734500.0814545462</v>
      </c>
      <c r="D33" s="816"/>
      <c r="E33" s="816"/>
      <c r="F33" s="816"/>
      <c r="G33" s="816"/>
      <c r="H33" s="816"/>
      <c r="I33" s="816"/>
      <c r="J33" s="816"/>
      <c r="K33" s="816"/>
      <c r="L33" s="816"/>
      <c r="M33" s="816"/>
      <c r="N33" s="816"/>
      <c r="O33" s="816"/>
      <c r="P33" s="816"/>
      <c r="Q33" s="816"/>
      <c r="R33" s="816"/>
      <c r="S33" s="816"/>
      <c r="T33" s="816"/>
      <c r="U33" s="816"/>
      <c r="V33" s="816"/>
      <c r="W33" s="816"/>
      <c r="X33" s="851"/>
    </row>
    <row r="34" spans="2:24" x14ac:dyDescent="0.25">
      <c r="B34" s="816"/>
      <c r="C34" s="969">
        <f t="shared" ref="C34:C38" si="4">C11*-1</f>
        <v>260647.2</v>
      </c>
      <c r="D34" s="816"/>
      <c r="E34" s="816"/>
      <c r="F34" s="816"/>
      <c r="G34" s="816"/>
      <c r="H34" s="816"/>
      <c r="I34" s="816"/>
      <c r="J34" s="816"/>
      <c r="K34" s="816"/>
      <c r="L34" s="816"/>
      <c r="M34" s="816"/>
      <c r="N34" s="816"/>
      <c r="O34" s="816"/>
      <c r="P34" s="816"/>
      <c r="Q34" s="816"/>
      <c r="R34" s="816"/>
      <c r="S34" s="816"/>
      <c r="T34" s="816"/>
      <c r="U34" s="816"/>
      <c r="V34" s="816"/>
      <c r="W34" s="816"/>
      <c r="X34" s="816"/>
    </row>
    <row r="35" spans="2:24" x14ac:dyDescent="0.25">
      <c r="B35" s="816"/>
      <c r="C35" s="969">
        <f t="shared" si="4"/>
        <v>262382.87</v>
      </c>
      <c r="D35" s="816"/>
      <c r="E35" s="816"/>
      <c r="F35" s="816"/>
      <c r="G35" s="816"/>
      <c r="H35" s="816"/>
      <c r="I35" s="816"/>
      <c r="J35" s="816"/>
      <c r="K35" s="816"/>
      <c r="L35" s="816"/>
      <c r="M35" s="816"/>
      <c r="N35" s="816"/>
      <c r="O35" s="816"/>
      <c r="P35" s="816"/>
      <c r="Q35" s="816"/>
      <c r="R35" s="816"/>
      <c r="S35" s="816"/>
      <c r="T35" s="816"/>
      <c r="U35" s="816"/>
      <c r="V35" s="816"/>
      <c r="W35" s="816"/>
      <c r="X35" s="816"/>
    </row>
    <row r="36" spans="2:24" x14ac:dyDescent="0.25">
      <c r="C36" s="969">
        <f t="shared" si="4"/>
        <v>178876.02</v>
      </c>
    </row>
    <row r="37" spans="2:24" x14ac:dyDescent="0.25">
      <c r="C37" s="969">
        <f t="shared" si="4"/>
        <v>977050.79999999993</v>
      </c>
      <c r="G37" s="818" t="s">
        <v>1265</v>
      </c>
    </row>
    <row r="38" spans="2:24" x14ac:dyDescent="0.25">
      <c r="C38" s="969">
        <f t="shared" si="4"/>
        <v>35000</v>
      </c>
    </row>
    <row r="39" spans="2:24" x14ac:dyDescent="0.25">
      <c r="C39" s="969">
        <f ca="1">SUM(C33:C38)</f>
        <v>9448456.9714545477</v>
      </c>
    </row>
    <row r="40" spans="2:24" x14ac:dyDescent="0.25">
      <c r="D40" s="852"/>
    </row>
    <row r="41" spans="2:24" x14ac:dyDescent="0.25">
      <c r="D41" s="852"/>
    </row>
    <row r="42" spans="2:24" x14ac:dyDescent="0.25">
      <c r="D42" s="685"/>
    </row>
  </sheetData>
  <sheetProtection algorithmName="SHA-512" hashValue="7X3rDEckFSV2msvcHWWOPO8CwbbGsKZd/PaEbaSllkZz381/hKdvga7/lWdOI6kHR2I5EQjXfYy5v/ePZTGFBA==" saltValue="P/c3xlLLVs/rRTYfQUWtZA==" spinCount="100000" sheet="1" objects="1" scenarios="1"/>
  <mergeCells count="3">
    <mergeCell ref="A3:B3"/>
    <mergeCell ref="A4:B4"/>
    <mergeCell ref="A7:A23"/>
  </mergeCells>
  <conditionalFormatting sqref="B7:B21">
    <cfRule type="cellIs" dxfId="14" priority="3" operator="lessThan">
      <formula>0</formula>
    </cfRule>
  </conditionalFormatting>
  <conditionalFormatting sqref="B26:AB28">
    <cfRule type="cellIs" dxfId="13" priority="1" operator="lessThan">
      <formula>0</formula>
    </cfRule>
  </conditionalFormatting>
  <conditionalFormatting sqref="D7:AC23">
    <cfRule type="cellIs" dxfId="12" priority="2" operator="lessThan">
      <formula>0</formula>
    </cfRule>
  </conditionalFormatting>
  <printOptions horizontalCentered="1" verticalCentered="1"/>
  <pageMargins left="0.39370078740157483" right="0.39370078740157483" top="0.19685039370078741" bottom="0.39370078740157483" header="0.51181102362204722" footer="0.51181102362204722"/>
  <pageSetup paperSize="9" scale="48" fitToHeight="0" orientation="landscape"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47</vt:i4>
      </vt:variant>
      <vt:variant>
        <vt:lpstr>Intervalos Nomeados</vt:lpstr>
      </vt:variant>
      <vt:variant>
        <vt:i4>32</vt:i4>
      </vt:variant>
    </vt:vector>
  </HeadingPairs>
  <TitlesOfParts>
    <vt:vector size="79" baseType="lpstr">
      <vt:lpstr>Ent_Geral</vt:lpstr>
      <vt:lpstr>Ent_Plano Renovação Frota</vt:lpstr>
      <vt:lpstr>Resultados_Tarifa e TIR</vt:lpstr>
      <vt:lpstr>Resultados_Composição CT</vt:lpstr>
      <vt:lpstr>Resultados_FluxoCaixa</vt:lpstr>
      <vt:lpstr>FC_Premissas</vt:lpstr>
      <vt:lpstr>FC_DRE</vt:lpstr>
      <vt:lpstr>FC_Depreciação</vt:lpstr>
      <vt:lpstr>FC_CAPEX</vt:lpstr>
      <vt:lpstr>FC_Payback</vt:lpstr>
      <vt:lpstr>FC_WACC</vt:lpstr>
      <vt:lpstr>ANTP_1.1. Passageiros</vt:lpstr>
      <vt:lpstr>ANTP_1.2. KM programada</vt:lpstr>
      <vt:lpstr>ANTP_1.3 Frota Total</vt:lpstr>
      <vt:lpstr>ANTP_1.4 Indicadores</vt:lpstr>
      <vt:lpstr>ANTP_2.1.a Combustível</vt:lpstr>
      <vt:lpstr>ANTP_2.1.b Veículos</vt:lpstr>
      <vt:lpstr>ANTP_2.1.c Insumos</vt:lpstr>
      <vt:lpstr>ANTP_2 Custos (resumo)</vt:lpstr>
      <vt:lpstr>ANTP_Resumo</vt:lpstr>
      <vt:lpstr>ANTP_2.1. Custo Variável</vt:lpstr>
      <vt:lpstr>ANTP_2.2 Custo Fixo</vt:lpstr>
      <vt:lpstr>ANTP_2.3 RPS</vt:lpstr>
      <vt:lpstr>ANTP_4. Custo Total</vt:lpstr>
      <vt:lpstr>ANTP_4.1. Custo Pass. Transp.</vt:lpstr>
      <vt:lpstr>ANTP_4.2. Tarifa Técnica</vt:lpstr>
      <vt:lpstr>Ref_A.III. Combustível</vt:lpstr>
      <vt:lpstr>Ref_A.IV. Lub.</vt:lpstr>
      <vt:lpstr>Ref_A.V. Arla32</vt:lpstr>
      <vt:lpstr>Ref_A.VI. Rodagem</vt:lpstr>
      <vt:lpstr>Ref_A.VII. Peças e acessórios </vt:lpstr>
      <vt:lpstr>Ref_A.VIII. Custos ambientais</vt:lpstr>
      <vt:lpstr>Ref_A.IX.a. Deprec. veículos</vt:lpstr>
      <vt:lpstr>Ref_A.IX.b. Deprec garag equip</vt:lpstr>
      <vt:lpstr>Ref_A.X.a. Remun. veículos </vt:lpstr>
      <vt:lpstr>Ref_A.X.b.  Remun garagem equip</vt:lpstr>
      <vt:lpstr>Ref_A.X.c. Remun Eq Bilhet ITS</vt:lpstr>
      <vt:lpstr>Ref_A.X.d. Remun. Vec. Apoio</vt:lpstr>
      <vt:lpstr>Ref_A.X. Remun. Infra</vt:lpstr>
      <vt:lpstr>Ref_A.X.e. Remun. Infraes</vt:lpstr>
      <vt:lpstr>Ref_A.XII. FU</vt:lpstr>
      <vt:lpstr>Ref_A.XIII. DMA</vt:lpstr>
      <vt:lpstr>Ref_A.XV. RPS (Simplificado)</vt:lpstr>
      <vt:lpstr>Ref_A.XV. RPS (DetalhadoI)</vt:lpstr>
      <vt:lpstr>Ref_A.XV. RPS (DetalhadoII)</vt:lpstr>
      <vt:lpstr>A.XV. RPS (Base Num)</vt:lpstr>
      <vt:lpstr>Ref_A.XVI. Despesas Gerais</vt:lpstr>
      <vt:lpstr>'ANTP_1.1. Passageiros'!Area_de_impressao</vt:lpstr>
      <vt:lpstr>'ANTP_1.2. KM programada'!Area_de_impressao</vt:lpstr>
      <vt:lpstr>'ANTP_1.3 Frota Total'!Area_de_impressao</vt:lpstr>
      <vt:lpstr>'ANTP_1.4 Indicadores'!Area_de_impressao</vt:lpstr>
      <vt:lpstr>'ANTP_2 Custos (resumo)'!Area_de_impressao</vt:lpstr>
      <vt:lpstr>'ANTP_2.1. Custo Variável'!Area_de_impressao</vt:lpstr>
      <vt:lpstr>'ANTP_2.1.a Combustível'!Area_de_impressao</vt:lpstr>
      <vt:lpstr>'ANTP_2.1.b Veículos'!Area_de_impressao</vt:lpstr>
      <vt:lpstr>'ANTP_2.1.c Insumos'!Area_de_impressao</vt:lpstr>
      <vt:lpstr>'ANTP_2.2 Custo Fixo'!Area_de_impressao</vt:lpstr>
      <vt:lpstr>'ANTP_2.3 RPS'!Area_de_impressao</vt:lpstr>
      <vt:lpstr>'ANTP_4. Custo Total'!Area_de_impressao</vt:lpstr>
      <vt:lpstr>'ANTP_4.1. Custo Pass. Transp.'!Area_de_impressao</vt:lpstr>
      <vt:lpstr>'ANTP_4.2. Tarifa Técnica'!Area_de_impressao</vt:lpstr>
      <vt:lpstr>ANTP_Resumo!Area_de_impressao</vt:lpstr>
      <vt:lpstr>Ent_Geral!Area_de_impressao</vt:lpstr>
      <vt:lpstr>'Ent_Plano Renovação Frota'!Area_de_impressao</vt:lpstr>
      <vt:lpstr>FC_CAPEX!Area_de_impressao</vt:lpstr>
      <vt:lpstr>FC_Depreciação!Area_de_impressao</vt:lpstr>
      <vt:lpstr>FC_DRE!Area_de_impressao</vt:lpstr>
      <vt:lpstr>FC_Payback!Area_de_impressao</vt:lpstr>
      <vt:lpstr>FC_Premissas!Area_de_impressao</vt:lpstr>
      <vt:lpstr>FC_WACC!Area_de_impressao</vt:lpstr>
      <vt:lpstr>'Ref_A.XVI. Despesas Gerais'!Area_de_impressao</vt:lpstr>
      <vt:lpstr>'Resultados_Composição CT'!Area_de_impressao</vt:lpstr>
      <vt:lpstr>Resultados_FluxoCaixa!Area_de_impressao</vt:lpstr>
      <vt:lpstr>'Resultados_Tarifa e TIR'!Area_de_impressao</vt:lpstr>
      <vt:lpstr>'Ent_Plano Renovação Frota'!Print_Area</vt:lpstr>
      <vt:lpstr>'Ent_Plano Renovação Frota'!Print_Titles</vt:lpstr>
      <vt:lpstr>ANTP_Resumo!Titulos_de_impressao</vt:lpstr>
      <vt:lpstr>'Ent_Plano Renovação Frota'!Titulos_de_impressao</vt:lpstr>
      <vt:lpstr>FC_CAPEX!Titulos_de_impressao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 Migliorini</cp:lastModifiedBy>
  <cp:lastPrinted>2023-07-06T13:43:01Z</cp:lastPrinted>
  <dcterms:created xsi:type="dcterms:W3CDTF">1997-01-10T22:22:50Z</dcterms:created>
  <dcterms:modified xsi:type="dcterms:W3CDTF">2024-01-11T19:37:24Z</dcterms:modified>
</cp:coreProperties>
</file>